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S:\SFAMMO\State Term Contract\IT\Learning Content Mgmt Systems\5400026427 Learning Content Management Systems\2 Evaluation Docs\10 Web Award\"/>
    </mc:Choice>
  </mc:AlternateContent>
  <xr:revisionPtr revIDLastSave="0" documentId="13_ncr:1_{ED8122AF-FB1C-4904-A49A-C07F275F32BB}" xr6:coauthVersionLast="47" xr6:coauthVersionMax="47" xr10:uidLastSave="{00000000-0000-0000-0000-000000000000}"/>
  <bookViews>
    <workbookView xWindow="28680" yWindow="-120" windowWidth="29040" windowHeight="15720" firstSheet="1" activeTab="1" xr2:uid="{00000000-000D-0000-FFFF-FFFF00000000}"/>
  </bookViews>
  <sheets>
    <sheet name="Instructions" sheetId="13" r:id="rId1"/>
    <sheet name="2 - HE &amp; Bus-Gov Pricing" sheetId="7" r:id="rId2"/>
    <sheet name="3 HE BUS-GOV Host Supp. Modules" sheetId="11" r:id="rId3"/>
    <sheet name="4 Student Success Supp. Modules" sheetId="12" r:id="rId4"/>
    <sheet name="5 - Training" sheetId="6" r:id="rId5"/>
    <sheet name="6 - Professional Services" sheetId="5" r:id="rId6"/>
  </sheets>
  <definedNames>
    <definedName name="_xlnm._FilterDatabase" localSheetId="2" hidden="1">'3 HE BUS-GOV Host Supp. Modules'!$A$8:$F$9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69" i="11" l="1"/>
  <c r="D384" i="11"/>
  <c r="C384" i="11" s="1"/>
  <c r="D431" i="11"/>
  <c r="D430" i="11"/>
  <c r="D429" i="11"/>
  <c r="D428" i="11"/>
  <c r="D427" i="11"/>
  <c r="D426" i="11"/>
  <c r="D425" i="11"/>
  <c r="D424" i="11"/>
  <c r="D423" i="11"/>
  <c r="D417" i="11"/>
  <c r="D416" i="11"/>
  <c r="D415" i="11"/>
  <c r="D414" i="11"/>
  <c r="D413" i="11"/>
  <c r="D412" i="11"/>
  <c r="D411" i="11"/>
  <c r="D410" i="11"/>
  <c r="D409" i="11"/>
  <c r="D408" i="11"/>
  <c r="C408" i="11" s="1"/>
  <c r="D403" i="11"/>
  <c r="D402" i="11"/>
  <c r="D401" i="11"/>
  <c r="D400" i="11"/>
  <c r="D399" i="11"/>
  <c r="D398" i="11"/>
  <c r="D397" i="11"/>
  <c r="D396" i="11"/>
  <c r="D395" i="11"/>
  <c r="D394" i="11"/>
  <c r="C394" i="11" s="1"/>
  <c r="D383" i="11"/>
  <c r="C383" i="11" s="1"/>
  <c r="D382" i="11"/>
  <c r="C382" i="11" s="1"/>
  <c r="D381" i="11"/>
  <c r="C381" i="11" s="1"/>
  <c r="D389" i="11"/>
  <c r="C389" i="11" s="1"/>
  <c r="D388" i="11"/>
  <c r="D387" i="11"/>
  <c r="C387" i="11" s="1"/>
  <c r="D386" i="11"/>
  <c r="C386" i="11"/>
  <c r="D385" i="11"/>
  <c r="D380" i="11"/>
  <c r="C380" i="11" s="1"/>
  <c r="D375" i="11"/>
  <c r="C375" i="11" s="1"/>
  <c r="D374" i="11"/>
  <c r="C374" i="11" s="1"/>
  <c r="D373" i="11"/>
  <c r="C373" i="11" s="1"/>
  <c r="D372" i="11"/>
  <c r="D371" i="11"/>
  <c r="C371" i="11" s="1"/>
  <c r="D370" i="11"/>
  <c r="C370" i="11"/>
  <c r="D368" i="11"/>
  <c r="C368" i="11"/>
  <c r="D367" i="11"/>
  <c r="D366" i="11"/>
  <c r="D361" i="11"/>
  <c r="C361" i="11" s="1"/>
  <c r="D360" i="11"/>
  <c r="D359" i="11"/>
  <c r="C359" i="11" s="1"/>
  <c r="D358" i="11"/>
  <c r="C358" i="11" s="1"/>
  <c r="D356" i="11"/>
  <c r="C356" i="11" s="1"/>
  <c r="D357" i="11"/>
  <c r="D355" i="11"/>
  <c r="C355" i="11" s="1"/>
  <c r="D354" i="11"/>
  <c r="C354" i="11" s="1"/>
  <c r="D353" i="11"/>
  <c r="C353" i="11" s="1"/>
  <c r="D352" i="11"/>
  <c r="C352" i="11" s="1"/>
  <c r="D346" i="11"/>
  <c r="C346" i="11" s="1"/>
  <c r="D345" i="11"/>
  <c r="C345" i="11" s="1"/>
  <c r="D344" i="11"/>
  <c r="C344" i="11" s="1"/>
  <c r="D343" i="11"/>
  <c r="C343" i="11" s="1"/>
  <c r="D342" i="11"/>
  <c r="D341" i="11"/>
  <c r="C341" i="11" s="1"/>
  <c r="D340" i="11"/>
  <c r="C340" i="11" s="1"/>
  <c r="D339" i="11"/>
  <c r="C339" i="11" s="1"/>
  <c r="D338" i="11"/>
  <c r="C338" i="11" s="1"/>
  <c r="D337" i="11"/>
  <c r="C337" i="11" s="1"/>
  <c r="D314" i="11"/>
  <c r="C314" i="11" s="1"/>
  <c r="D313" i="11"/>
  <c r="C313" i="11" s="1"/>
  <c r="D312" i="11"/>
  <c r="C312" i="11" s="1"/>
  <c r="D311" i="11"/>
  <c r="C311" i="11" s="1"/>
  <c r="D310" i="11"/>
  <c r="C310" i="11" s="1"/>
  <c r="D309" i="11"/>
  <c r="C309" i="11" s="1"/>
  <c r="D302" i="11"/>
  <c r="C302" i="11" s="1"/>
  <c r="D301" i="11"/>
  <c r="C301" i="11" s="1"/>
  <c r="D300" i="11"/>
  <c r="C300" i="11" s="1"/>
  <c r="D299" i="11"/>
  <c r="C299" i="11" s="1"/>
  <c r="D298" i="11"/>
  <c r="C298" i="11" s="1"/>
  <c r="D297" i="11"/>
  <c r="C297" i="11" s="1"/>
  <c r="D289" i="11"/>
  <c r="C289" i="11" s="1"/>
  <c r="D288" i="11"/>
  <c r="C288" i="11" s="1"/>
  <c r="D287" i="11"/>
  <c r="C287" i="11" s="1"/>
  <c r="D286" i="11"/>
  <c r="C286" i="11" s="1"/>
  <c r="D285" i="11"/>
  <c r="C285" i="11" s="1"/>
  <c r="D284" i="11"/>
  <c r="C284" i="11" s="1"/>
  <c r="D276" i="11"/>
  <c r="C276" i="11" s="1"/>
  <c r="D275" i="11"/>
  <c r="C275" i="11" s="1"/>
  <c r="D274" i="11"/>
  <c r="C274" i="11" s="1"/>
  <c r="D273" i="11"/>
  <c r="C273" i="11" s="1"/>
  <c r="D272" i="11"/>
  <c r="C272" i="11" s="1"/>
  <c r="D271" i="11"/>
  <c r="C271" i="11" s="1"/>
  <c r="D263" i="11"/>
  <c r="C263" i="11" s="1"/>
  <c r="D262" i="11"/>
  <c r="C262" i="11" s="1"/>
  <c r="D261" i="11"/>
  <c r="C261" i="11" s="1"/>
  <c r="D260" i="11"/>
  <c r="C260" i="11" s="1"/>
  <c r="D259" i="11"/>
  <c r="C259" i="11" s="1"/>
  <c r="D258" i="11"/>
  <c r="D250" i="11"/>
  <c r="C250" i="11" s="1"/>
  <c r="D249" i="11"/>
  <c r="C249" i="11" s="1"/>
  <c r="D248" i="11"/>
  <c r="C248" i="11" s="1"/>
  <c r="D247" i="11"/>
  <c r="D246" i="11"/>
  <c r="C246" i="11" s="1"/>
  <c r="D245" i="11"/>
  <c r="C245" i="11" s="1"/>
  <c r="D237" i="11"/>
  <c r="D236" i="11"/>
  <c r="C236" i="11" s="1"/>
  <c r="D235" i="11"/>
  <c r="C235" i="11" s="1"/>
  <c r="D234" i="11"/>
  <c r="D233" i="11"/>
  <c r="C233" i="11" s="1"/>
  <c r="D232" i="11"/>
  <c r="C232" i="11" s="1"/>
  <c r="D224" i="11"/>
  <c r="C224" i="11" s="1"/>
  <c r="D223" i="11"/>
  <c r="C223" i="11"/>
  <c r="D222" i="11"/>
  <c r="C222" i="11" s="1"/>
  <c r="D221" i="11"/>
  <c r="C221" i="11" s="1"/>
  <c r="D220" i="11"/>
  <c r="C220" i="11" s="1"/>
  <c r="D219" i="11"/>
  <c r="C219" i="11" s="1"/>
  <c r="D211" i="11"/>
  <c r="C211" i="11" s="1"/>
  <c r="D210" i="11"/>
  <c r="C210" i="11" s="1"/>
  <c r="D209" i="11"/>
  <c r="C209" i="11" s="1"/>
  <c r="D208" i="11"/>
  <c r="C208" i="11" s="1"/>
  <c r="D207" i="11"/>
  <c r="D206" i="11"/>
  <c r="D198" i="11"/>
  <c r="C198" i="11" s="1"/>
  <c r="D197" i="11"/>
  <c r="C197" i="11" s="1"/>
  <c r="D196" i="11"/>
  <c r="C196" i="11" s="1"/>
  <c r="D195" i="11"/>
  <c r="C195" i="11" s="1"/>
  <c r="D194" i="11"/>
  <c r="C194" i="11" s="1"/>
  <c r="D193" i="11"/>
  <c r="C193" i="11" s="1"/>
  <c r="D185" i="11"/>
  <c r="D184" i="11"/>
  <c r="C184" i="11" s="1"/>
  <c r="D183" i="11"/>
  <c r="C183" i="11" s="1"/>
  <c r="D182" i="11"/>
  <c r="D181" i="11"/>
  <c r="C181" i="11" s="1"/>
  <c r="D180" i="11"/>
  <c r="C180" i="11" s="1"/>
  <c r="D172" i="11"/>
  <c r="C172" i="11" s="1"/>
  <c r="D171" i="11"/>
  <c r="D170" i="11"/>
  <c r="D169" i="11"/>
  <c r="C169" i="11" s="1"/>
  <c r="D168" i="11"/>
  <c r="C168" i="11" s="1"/>
  <c r="D167" i="11"/>
  <c r="C167" i="11" s="1"/>
  <c r="D159" i="11"/>
  <c r="C159" i="11" s="1"/>
  <c r="D158" i="11"/>
  <c r="D157" i="11"/>
  <c r="D156" i="11"/>
  <c r="C156" i="11" s="1"/>
  <c r="D155" i="11"/>
  <c r="C155" i="11" s="1"/>
  <c r="D154" i="11"/>
  <c r="C154" i="11" s="1"/>
  <c r="D146" i="11"/>
  <c r="C146" i="11" s="1"/>
  <c r="D145" i="11"/>
  <c r="C145" i="11" s="1"/>
  <c r="D144" i="11"/>
  <c r="C144" i="11" s="1"/>
  <c r="D143" i="11"/>
  <c r="C143" i="11" s="1"/>
  <c r="D142" i="11"/>
  <c r="D141" i="11"/>
  <c r="C141" i="11" s="1"/>
  <c r="D133" i="11"/>
  <c r="D132" i="11"/>
  <c r="C132" i="11" s="1"/>
  <c r="D131" i="11"/>
  <c r="C131" i="11" s="1"/>
  <c r="D130" i="11"/>
  <c r="C130" i="11" s="1"/>
  <c r="D129" i="11"/>
  <c r="C129" i="11" s="1"/>
  <c r="D128" i="11"/>
  <c r="C128" i="11" s="1"/>
  <c r="D121" i="11"/>
  <c r="C121" i="11" s="1"/>
  <c r="D120" i="11"/>
  <c r="C120" i="11" s="1"/>
  <c r="D119" i="11"/>
  <c r="C119" i="11" s="1"/>
  <c r="D118" i="11"/>
  <c r="C118" i="11" s="1"/>
  <c r="D117" i="11"/>
  <c r="D116" i="11"/>
  <c r="D109" i="11"/>
  <c r="C109" i="11" s="1"/>
  <c r="D108" i="11"/>
  <c r="C108" i="11" s="1"/>
  <c r="D107" i="11"/>
  <c r="C107" i="11" s="1"/>
  <c r="D106" i="11"/>
  <c r="C106" i="11" s="1"/>
  <c r="D105" i="11"/>
  <c r="C105" i="11" s="1"/>
  <c r="D104" i="11"/>
  <c r="C104" i="11" s="1"/>
  <c r="D98" i="11"/>
  <c r="C98" i="11" s="1"/>
  <c r="D97" i="11"/>
  <c r="C97" i="11" s="1"/>
  <c r="D96" i="11"/>
  <c r="C96" i="11" s="1"/>
  <c r="D95" i="11"/>
  <c r="C95" i="11" s="1"/>
  <c r="D94" i="11"/>
  <c r="D93" i="11"/>
  <c r="C93" i="11" s="1"/>
  <c r="D86" i="11"/>
  <c r="C86" i="11" s="1"/>
  <c r="D85" i="11"/>
  <c r="C85" i="11" s="1"/>
  <c r="D84" i="11"/>
  <c r="D83" i="11"/>
  <c r="C83" i="11" s="1"/>
  <c r="D82" i="11"/>
  <c r="C82" i="11" s="1"/>
  <c r="D81" i="11"/>
  <c r="C81" i="11" s="1"/>
  <c r="D67" i="11"/>
  <c r="C67" i="11" s="1"/>
  <c r="D66" i="11"/>
  <c r="C66" i="11"/>
  <c r="D65" i="11"/>
  <c r="C65" i="11" s="1"/>
  <c r="D64" i="11"/>
  <c r="C64" i="11" s="1"/>
  <c r="D63" i="11"/>
  <c r="C63" i="11" s="1"/>
  <c r="D62" i="11"/>
  <c r="C62" i="11" s="1"/>
  <c r="D61" i="11"/>
  <c r="D60" i="11"/>
  <c r="C60" i="11" s="1"/>
  <c r="D59" i="11"/>
  <c r="D58" i="11"/>
  <c r="C58" i="11" s="1"/>
  <c r="D51" i="11"/>
  <c r="C51" i="11" s="1"/>
  <c r="D50" i="11"/>
  <c r="D49" i="11"/>
  <c r="C49" i="11" s="1"/>
  <c r="D48" i="11"/>
  <c r="C48" i="11" s="1"/>
  <c r="D47" i="11"/>
  <c r="C47" i="11" s="1"/>
  <c r="D46" i="11"/>
  <c r="C46" i="11" s="1"/>
  <c r="D29" i="11"/>
  <c r="C29" i="11" s="1"/>
  <c r="D28" i="11"/>
  <c r="D27" i="11"/>
  <c r="C27" i="11" s="1"/>
  <c r="D26" i="11"/>
  <c r="D25" i="11"/>
  <c r="C25" i="11" s="1"/>
  <c r="D24" i="11"/>
  <c r="C24" i="11" s="1"/>
  <c r="D16" i="11"/>
  <c r="C16" i="11" s="1"/>
  <c r="D15" i="11"/>
  <c r="C15" i="11" s="1"/>
  <c r="D14" i="11"/>
  <c r="C14" i="11" s="1"/>
  <c r="D13" i="11"/>
  <c r="C13" i="11" s="1"/>
  <c r="D12" i="11"/>
  <c r="D11" i="11"/>
  <c r="C11" i="11" s="1"/>
  <c r="D32" i="7"/>
  <c r="C32" i="7" s="1"/>
  <c r="D31" i="7"/>
  <c r="C31" i="7" s="1"/>
  <c r="D30" i="7"/>
  <c r="C30" i="7" s="1"/>
  <c r="D29" i="7"/>
  <c r="C29" i="7" s="1"/>
  <c r="D28" i="7"/>
  <c r="D27" i="7"/>
  <c r="C27" i="7" s="1"/>
  <c r="D14" i="7"/>
  <c r="C14" i="7" s="1"/>
  <c r="D13" i="7"/>
  <c r="C13" i="7" s="1"/>
  <c r="D12" i="7"/>
  <c r="C12" i="7" s="1"/>
  <c r="D11" i="7"/>
  <c r="C11" i="7" s="1"/>
  <c r="D10" i="7"/>
  <c r="C10" i="7" s="1"/>
  <c r="D9" i="7"/>
  <c r="C9" i="7" s="1"/>
  <c r="C423" i="11"/>
  <c r="C424" i="11"/>
  <c r="C425" i="11"/>
  <c r="C426" i="11"/>
  <c r="C427" i="11"/>
  <c r="C428" i="11"/>
  <c r="C429" i="11"/>
  <c r="C430" i="11"/>
  <c r="C431" i="11"/>
  <c r="C409" i="11"/>
  <c r="C410" i="11"/>
  <c r="C411" i="11"/>
  <c r="C412" i="11"/>
  <c r="C413" i="11"/>
  <c r="C414" i="11"/>
  <c r="C415" i="11"/>
  <c r="C416" i="11"/>
  <c r="C417" i="11"/>
  <c r="C395" i="11"/>
  <c r="C396" i="11"/>
  <c r="C397" i="11"/>
  <c r="C398" i="11"/>
  <c r="C399" i="11"/>
  <c r="C400" i="11"/>
  <c r="C401" i="11"/>
  <c r="C402" i="11"/>
  <c r="C403" i="11"/>
  <c r="C385" i="11"/>
  <c r="C388" i="11"/>
  <c r="C367" i="11"/>
  <c r="C369" i="11"/>
  <c r="C372" i="11"/>
  <c r="C366" i="11"/>
  <c r="C357" i="11"/>
  <c r="C360" i="11"/>
  <c r="C342" i="11"/>
  <c r="C316" i="11"/>
  <c r="C317" i="11"/>
  <c r="C258" i="11"/>
  <c r="C247" i="11"/>
  <c r="C234" i="11"/>
  <c r="C237" i="11"/>
  <c r="C207" i="11"/>
  <c r="C206" i="11"/>
  <c r="C182" i="11"/>
  <c r="C185" i="11"/>
  <c r="C170" i="11"/>
  <c r="C171" i="11"/>
  <c r="C157" i="11"/>
  <c r="C158" i="11"/>
  <c r="C142" i="11"/>
  <c r="C133" i="11"/>
  <c r="C117" i="11"/>
  <c r="C116" i="11"/>
  <c r="C94" i="11"/>
  <c r="C84" i="11"/>
  <c r="C59" i="11"/>
  <c r="C61" i="11"/>
  <c r="C50" i="11"/>
  <c r="C26" i="11"/>
  <c r="C28" i="11"/>
  <c r="C12" i="11"/>
  <c r="C28" i="7"/>
</calcChain>
</file>

<file path=xl/sharedStrings.xml><?xml version="1.0" encoding="utf-8"?>
<sst xmlns="http://schemas.openxmlformats.org/spreadsheetml/2006/main" count="1620" uniqueCount="352">
  <si>
    <t>South Carolina Statewide Term Contract Solicitation 5400026427</t>
  </si>
  <si>
    <t>LEARNING CONTENT MANAGEMENT SYSTEM</t>
  </si>
  <si>
    <r>
      <rPr>
        <u/>
        <sz val="12"/>
        <color theme="1"/>
        <rFont val="Calibri"/>
        <family val="2"/>
        <scheme val="minor"/>
      </rPr>
      <t>Instructions:</t>
    </r>
    <r>
      <rPr>
        <sz val="12"/>
        <color theme="1"/>
        <rFont val="Calibri"/>
        <family val="2"/>
        <scheme val="minor"/>
      </rPr>
      <t xml:space="preserve"> For each section that you are offering a proposed solution, you must fill in the corresponding worksheets. The ranges of Full Time Employees / students provided are for example only and may be adjusted according to your pricing structure. Unless otherwise specified in the instructions on a particular worksheet, the worksheet should not be modified except to include the pricing information requested. Pricing must be included for every requested field within a table. For example, in order to complete the table on Worksheet 1 - K-12 Pricing, you must include pricing for each of the following fields: Initial Implementation Fee, Monthly Price / FTE and/or Student, Annual Price / FTE and/or Student, Monthly Maintenance Base Price / FTE and/or Student, and Annual Maintenance Base Price / FTE and/or Student. </t>
    </r>
  </si>
  <si>
    <t xml:space="preserve">Provide the pricing information requested for the proposed solution's Core Components Bundle. </t>
  </si>
  <si>
    <t>Aggregate FTEs</t>
  </si>
  <si>
    <t>Initial Implementation Fee</t>
  </si>
  <si>
    <t>Monthly Price / FTE</t>
  </si>
  <si>
    <t>Annual Price / FTE</t>
  </si>
  <si>
    <t>Monthly Maintenance Base Price</t>
  </si>
  <si>
    <t>Annual Maintenance Base Price</t>
  </si>
  <si>
    <t>1 - 2,000 Users</t>
  </si>
  <si>
    <t>N/A</t>
  </si>
  <si>
    <t>2,001 - 4,000 Users</t>
  </si>
  <si>
    <t>4,001 - 8,000 Users</t>
  </si>
  <si>
    <t>8,001 -15,000 Users</t>
  </si>
  <si>
    <t>15,001 -25,000 Users</t>
  </si>
  <si>
    <t>25,001 - 50,000 Users</t>
  </si>
  <si>
    <t>50,001+ Users</t>
  </si>
  <si>
    <t>Custom Pricing</t>
  </si>
  <si>
    <t>Managed Hosting Pricing</t>
  </si>
  <si>
    <t xml:space="preserve">* Monthly pricing must not be more than 10% greater than the corresponding annual price divided by twelve. </t>
  </si>
  <si>
    <t>Implementation</t>
  </si>
  <si>
    <t>$5,000 1 to 10,000 FTE</t>
  </si>
  <si>
    <t>$15,000 10,001 to 25,000 FTE</t>
  </si>
  <si>
    <t>$45,000 25,001+ FTE</t>
  </si>
  <si>
    <t>Hosted Pricing</t>
  </si>
  <si>
    <t>HE / BUS-GOV Core Components Bundle Pricing</t>
  </si>
  <si>
    <t>HE - Blackboard Learn Plus</t>
  </si>
  <si>
    <t>Custom Pricing/12</t>
  </si>
  <si>
    <t>HE - Blackboard Learn Advantage</t>
  </si>
  <si>
    <t>Bus-Gov Hosted Pricing</t>
  </si>
  <si>
    <t xml:space="preserve">We will no longer provide pricing for a self hosted or On premise environment as we no longer sell these. </t>
  </si>
  <si>
    <t>HE / BUS-GOV Supplemental Modules</t>
  </si>
  <si>
    <t>Modules or individual optional features/functionalities that are not included in the proposed solution's Core Component Bundle should be priced here. Insert the module or individual optional feature/functionality name, provide a brief description of functionality, and fill in the pricing for each. Copy and paste the chart, leaving at least two rows between each, to provide pricing for each supplemental module or optional feature/functionality on this worksheet. If not applicable or not offering on this lot, you may delete this worksheet.</t>
  </si>
  <si>
    <t>Ally for Blackboard</t>
  </si>
  <si>
    <t>(Description included in response under additional products/services)</t>
  </si>
  <si>
    <t>Ally for Non-Blackboard</t>
  </si>
  <si>
    <t>Ally Optional Services</t>
  </si>
  <si>
    <t>School Price</t>
  </si>
  <si>
    <t xml:space="preserve">Remote Faculty / Staff Workshop </t>
  </si>
  <si>
    <t xml:space="preserve">Training Delivery Package </t>
  </si>
  <si>
    <t xml:space="preserve">Blackboard Ally Deployment &amp; Adoption Plan </t>
  </si>
  <si>
    <t>Course Review for up to 25 courses (price per course)</t>
  </si>
  <si>
    <t>Accessibility Fundamentals for Instructors and Course Designer – Online Training     (cost per seat)</t>
  </si>
  <si>
    <t xml:space="preserve">eLearning Academic Accessibility Plan </t>
  </si>
  <si>
    <t xml:space="preserve">Ally for Public Websites </t>
  </si>
  <si>
    <t>Training and Development Manager (TDM)</t>
  </si>
  <si>
    <t>1 - 500 Learners</t>
  </si>
  <si>
    <t>501 - 1,000 Learners</t>
  </si>
  <si>
    <t>1,001 - 2,000 Learners</t>
  </si>
  <si>
    <t>2,001 - 5,000 Learners</t>
  </si>
  <si>
    <t>5,001 - 10,000 Learners</t>
  </si>
  <si>
    <t>10,001 - 15,000 Learners</t>
  </si>
  <si>
    <t>15,001 - 20,000 Learners</t>
  </si>
  <si>
    <t>20,0001 - 25,000 Learners</t>
  </si>
  <si>
    <t>25,001 - 50,000 Learners</t>
  </si>
  <si>
    <t>More than 50,000 Learners</t>
  </si>
  <si>
    <t>SaaS Additional Products</t>
  </si>
  <si>
    <t>SaaS 1 TB Storage</t>
  </si>
  <si>
    <t>SaaS Stage Server</t>
  </si>
  <si>
    <t>SaaS Direct Data Access</t>
  </si>
  <si>
    <t>Blackboard Outcomes</t>
  </si>
  <si>
    <t>Observation: Implementation depends on the amount of programs and combination of assessment to be delivered.</t>
  </si>
  <si>
    <t>EAC Outcomes for Blackboard Outcomes</t>
  </si>
  <si>
    <t>EAC Visual Data Primary</t>
  </si>
  <si>
    <t>EAC Everything= EAC for Outcomes + Outcomes + EAC Primary</t>
  </si>
  <si>
    <t>BB Analytics Student Management Suite - Annual License</t>
  </si>
  <si>
    <t>Multitennat Environments</t>
  </si>
  <si>
    <t>BB Analytics Student Management - Annual License</t>
  </si>
  <si>
    <t>Mutlitennant Environments</t>
  </si>
  <si>
    <t>BB Analytics Financial Management - Annual License</t>
  </si>
  <si>
    <t>BB Analytics Advancement</t>
  </si>
  <si>
    <t>BB Analytics Financial Aid - Annual License</t>
  </si>
  <si>
    <t xml:space="preserve">*Requires Student Management License and Implementation as Pre-Requisite. </t>
  </si>
  <si>
    <t>**Refer to Student Management Suite if Bundle is required</t>
  </si>
  <si>
    <t>BB Analytics Human Resources - Annual License</t>
  </si>
  <si>
    <t>BB Analytics for Learn - Annual License</t>
  </si>
  <si>
    <t>*Higher Ed clients to migrate to Anthology Illuminte - See Illuminate Pricing Schedule*</t>
  </si>
  <si>
    <t>BB Analytics Student Management Suite - Perpetual License</t>
  </si>
  <si>
    <t>BB Analytics Student Management - Perpetual License</t>
  </si>
  <si>
    <t>BB Analytics Financial Management - Perpetual License</t>
  </si>
  <si>
    <t>BB Analytics Advancement - Perpetual License</t>
  </si>
  <si>
    <t>BB Analytics Financial Aid - Perpetual License</t>
  </si>
  <si>
    <t>BB Analytics Human Resources - Perpetual License</t>
  </si>
  <si>
    <t>BB Analytics For Learn - Perpetual License</t>
  </si>
  <si>
    <t>BB Analytics Managed Hosting (Up to 2 Modules)</t>
  </si>
  <si>
    <t>Third Module</t>
  </si>
  <si>
    <t>Fourth Module</t>
  </si>
  <si>
    <t>Anthology Illuminate - Data-Reporting Plus</t>
  </si>
  <si>
    <t>User Seats LIcenses</t>
  </si>
  <si>
    <t>Included with Learn</t>
  </si>
  <si>
    <t>Lite</t>
  </si>
  <si>
    <t>Standard</t>
  </si>
  <si>
    <t>Pro</t>
  </si>
  <si>
    <t>Enterprise</t>
  </si>
  <si>
    <t>Additional</t>
  </si>
  <si>
    <t>Author Seats</t>
  </si>
  <si>
    <t>Viewer Seats</t>
  </si>
  <si>
    <t>&gt;500</t>
  </si>
  <si>
    <t>Package Price:</t>
  </si>
  <si>
    <t>N/C</t>
  </si>
  <si>
    <t>Add Ons:</t>
  </si>
  <si>
    <t>Viewer Seat Bundles</t>
  </si>
  <si>
    <t>Sold in Packs of 10</t>
  </si>
  <si>
    <t>$200 per seat</t>
  </si>
  <si>
    <t>$150 per seat</t>
  </si>
  <si>
    <t>$100 per seat</t>
  </si>
  <si>
    <t>Indivuidal Author Seats</t>
  </si>
  <si>
    <t>Per Seat</t>
  </si>
  <si>
    <t>SIS Connector</t>
  </si>
  <si>
    <t>SIS Ingestion Service</t>
  </si>
  <si>
    <t>Illuminate Foundation Services</t>
  </si>
  <si>
    <t>Illuminate Streams</t>
  </si>
  <si>
    <t>$10,000.00 each</t>
  </si>
  <si>
    <t>Onboarding and Orientation (Optional)</t>
  </si>
  <si>
    <t>Anthology Adopt</t>
  </si>
  <si>
    <t>25,001 - 40,000 Users</t>
  </si>
  <si>
    <t>40,001 - 55,000 Users</t>
  </si>
  <si>
    <t>55,001 - 95,000 Users</t>
  </si>
  <si>
    <t>95,001 -175,000 Users</t>
  </si>
  <si>
    <t>175,001 - 900,000 Users</t>
  </si>
  <si>
    <t xml:space="preserve">Registration Management </t>
  </si>
  <si>
    <t>1 - 500 Users</t>
  </si>
  <si>
    <t>501 - 1,000 Users</t>
  </si>
  <si>
    <t>1,001 - 2,000 Users</t>
  </si>
  <si>
    <t>2,001 -5,000 Users</t>
  </si>
  <si>
    <t>10,001 - 15,000 Users</t>
  </si>
  <si>
    <t>15,001 - 20,000 Users</t>
  </si>
  <si>
    <t>20,001 - 25,000 Users</t>
  </si>
  <si>
    <t>50,001 - 100,000 Users</t>
  </si>
  <si>
    <t>Reporting Framework</t>
  </si>
  <si>
    <t>Student Insights Toolkit</t>
  </si>
  <si>
    <t>Grades Journey Premium</t>
  </si>
  <si>
    <t>Universal Authentication System</t>
  </si>
  <si>
    <t>Milestone</t>
  </si>
  <si>
    <t>1 - 1,000 Users</t>
  </si>
  <si>
    <t>1,001 - 1,500 Users</t>
  </si>
  <si>
    <t>1,501 - 3,000 Users</t>
  </si>
  <si>
    <t>3,001 - 5,000 Users</t>
  </si>
  <si>
    <t>5,001 - 7,500 Users</t>
  </si>
  <si>
    <t>7,501 - 10,000 Users</t>
  </si>
  <si>
    <t>20,001 - 30,000 Users</t>
  </si>
  <si>
    <t>30,001+ Users</t>
  </si>
  <si>
    <t>Student Success - Supplemental Modules</t>
  </si>
  <si>
    <t>Help Desk</t>
  </si>
  <si>
    <t>Support Model</t>
  </si>
  <si>
    <t>PPI</t>
  </si>
  <si>
    <t>Implementation Fee</t>
  </si>
  <si>
    <t>Technology Fee Recurring*</t>
  </si>
  <si>
    <t>Domestic-Only</t>
  </si>
  <si>
    <t xml:space="preserve">Global </t>
  </si>
  <si>
    <t>Domestic Model</t>
  </si>
  <si>
    <t>Scope of Work</t>
  </si>
  <si>
    <t>Average Speed of Answer</t>
  </si>
  <si>
    <t xml:space="preserve"> 120 Seconds</t>
  </si>
  <si>
    <t>Average Handle Time</t>
  </si>
  <si>
    <t>8 Min</t>
  </si>
  <si>
    <t>Language</t>
  </si>
  <si>
    <t>English</t>
  </si>
  <si>
    <t>Global Model</t>
  </si>
  <si>
    <t>60 Seconds</t>
  </si>
  <si>
    <t>One Stop</t>
  </si>
  <si>
    <t>*Technology fee is combined to single annual charge of $9,500 if both One Stop and Help Desk Services exist.</t>
  </si>
  <si>
    <t>Optional/Additional Fees</t>
  </si>
  <si>
    <t>Item</t>
  </si>
  <si>
    <t>Price</t>
  </si>
  <si>
    <t>Notes</t>
  </si>
  <si>
    <t>Third Party Ticket Integration</t>
  </si>
  <si>
    <t>One Time Implementation Fee</t>
  </si>
  <si>
    <t>Smartview Licenses</t>
  </si>
  <si>
    <t xml:space="preserve">  1-20 Licenses</t>
  </si>
  <si>
    <t>Price Per Seat - Annual Fee</t>
  </si>
  <si>
    <t xml:space="preserve">  20-50</t>
  </si>
  <si>
    <t xml:space="preserve">  51-100</t>
  </si>
  <si>
    <t xml:space="preserve">  100+</t>
  </si>
  <si>
    <t>Dedicated Delivery Specialist*</t>
  </si>
  <si>
    <t xml:space="preserve">  Help Desk - 100% Dedication</t>
  </si>
  <si>
    <t>Annual Fee</t>
  </si>
  <si>
    <t xml:space="preserve">  Help Desk - 50% Dedication</t>
  </si>
  <si>
    <t xml:space="preserve">  Help Desk - 25% Dedication</t>
  </si>
  <si>
    <t xml:space="preserve">  One Stop - 100% Dedication</t>
  </si>
  <si>
    <t xml:space="preserve">  One Stop - 50% Dedication</t>
  </si>
  <si>
    <t xml:space="preserve">  One Stop - 25% Dedication</t>
  </si>
  <si>
    <t xml:space="preserve">*Level of dedication deteremined by Annual Incident Volume </t>
  </si>
  <si>
    <t>Chatbot Pricing</t>
  </si>
  <si>
    <t>Implementation (Year 1)</t>
  </si>
  <si>
    <t>Annual Chatbot Service Fee Based on Instution Enrollment</t>
  </si>
  <si>
    <t>Enrollment</t>
  </si>
  <si>
    <t>&lt; 5,000</t>
  </si>
  <si>
    <t>5,000-9,999</t>
  </si>
  <si>
    <t>10,000-14,999</t>
  </si>
  <si>
    <t>15,000-19,999</t>
  </si>
  <si>
    <t>20,000-24,999</t>
  </si>
  <si>
    <t>25,000-29,999</t>
  </si>
  <si>
    <t>30,000-34,999</t>
  </si>
  <si>
    <t>35,000-39,999</t>
  </si>
  <si>
    <t>40,000-44,999</t>
  </si>
  <si>
    <t>45,000-49,999</t>
  </si>
  <si>
    <t>50,000-54,999</t>
  </si>
  <si>
    <t>55,000-59,999</t>
  </si>
  <si>
    <t>60,000-64,999</t>
  </si>
  <si>
    <t>65,000-69,999</t>
  </si>
  <si>
    <t>70,000-74,999</t>
  </si>
  <si>
    <t>75,000-79,999</t>
  </si>
  <si>
    <t>80,000-84,999</t>
  </si>
  <si>
    <t>85,000-89,999</t>
  </si>
  <si>
    <t>90,000-94,999</t>
  </si>
  <si>
    <t>95,000-99,999</t>
  </si>
  <si>
    <t>100,000 +</t>
  </si>
  <si>
    <t>Engagement Campaign Pricing</t>
  </si>
  <si>
    <t>Live Call Campaigns</t>
  </si>
  <si>
    <t>Automated/Text Campaigns</t>
  </si>
  <si>
    <t>Per Record Fee</t>
  </si>
  <si>
    <t># of Records</t>
  </si>
  <si>
    <t>$ per Record</t>
  </si>
  <si>
    <t>$ per record</t>
  </si>
  <si>
    <t>0-1,500</t>
  </si>
  <si>
    <t>0-5,000</t>
  </si>
  <si>
    <t>1,501-2,500</t>
  </si>
  <si>
    <t>5,000+</t>
  </si>
  <si>
    <t>2,501-5,000</t>
  </si>
  <si>
    <t>5,001-10,000</t>
  </si>
  <si>
    <t>Set Up Fee</t>
  </si>
  <si>
    <t># of Campaigns</t>
  </si>
  <si>
    <t>10,000+</t>
  </si>
  <si>
    <t>4+</t>
  </si>
  <si>
    <t>Custom</t>
  </si>
  <si>
    <t>Enrollment Coaching</t>
  </si>
  <si>
    <t>COST TO CLIENT </t>
  </si>
  <si>
    <t>UNIT </t>
  </si>
  <si>
    <t>Implementation (Enrollment)</t>
  </si>
  <si>
    <t>$49,000 </t>
  </si>
  <si>
    <t>Lump Sum</t>
  </si>
  <si>
    <t>0 - 3000 records</t>
  </si>
  <si>
    <t>Lead Volume</t>
  </si>
  <si>
    <t>3001 - 6000 records</t>
  </si>
  <si>
    <t>6001 - 9000 records</t>
  </si>
  <si>
    <t>9001 – 12000 records</t>
  </si>
  <si>
    <t>Market Research &amp; Analysis</t>
  </si>
  <si>
    <t>Primary Research</t>
  </si>
  <si>
    <t>$20,000-$30,000</t>
  </si>
  <si>
    <t>Competitive Analysis</t>
  </si>
  <si>
    <t>Audience Segmentation</t>
  </si>
  <si>
    <t>Program Viability</t>
  </si>
  <si>
    <t>Marketing &amp; Media</t>
  </si>
  <si>
    <t>Implementation (Marketing)</t>
  </si>
  <si>
    <t>Up to $250,000 in media spend</t>
  </si>
  <si>
    <t>% of Media</t>
  </si>
  <si>
    <t>$250,000 to $499,999 in media spend</t>
  </si>
  <si>
    <t>$500,000 to $999,999 in media spend</t>
  </si>
  <si>
    <t>$1,000,000+ in media spend</t>
  </si>
  <si>
    <t>Communication Plans</t>
  </si>
  <si>
    <t>SEO Audit</t>
  </si>
  <si>
    <t>UI/UX Website Audit</t>
  </si>
  <si>
    <t>Microsite - up to ten pages</t>
  </si>
  <si>
    <t>Training Pricing</t>
  </si>
  <si>
    <t>Provide price per day per trainer or trainee depending on the delivery method. Include train the trainer options.</t>
  </si>
  <si>
    <t>Observations: We do not recommend more than 20 participants on the training categories, the trainings per seat is per participant and it can be more than 20 as needed.</t>
  </si>
  <si>
    <t>Training Type</t>
  </si>
  <si>
    <t>Delivery Method</t>
  </si>
  <si>
    <t>Length</t>
  </si>
  <si>
    <t>Daily Price Per Trainer</t>
  </si>
  <si>
    <t>Hourly Price Per Trainer</t>
  </si>
  <si>
    <t>Daily Price Per Trainee</t>
  </si>
  <si>
    <t>Learn Teaching Readiness</t>
  </si>
  <si>
    <t>Remote</t>
  </si>
  <si>
    <t>7 modules</t>
  </si>
  <si>
    <t>USD 225</t>
  </si>
  <si>
    <t>Train the trainers option. Workshop is $10,800 for 3 1/2 days/7 modules for 20 participants</t>
  </si>
  <si>
    <t>Learn Administration Readiness</t>
  </si>
  <si>
    <t>Learning Technology Planning: Essential One</t>
  </si>
  <si>
    <t>Depends on project Structure and client availability</t>
  </si>
  <si>
    <t>Planning Service. $7500 - one time support</t>
  </si>
  <si>
    <t>Learning Technology Planning: Advanced Plus</t>
  </si>
  <si>
    <t>20000-  Larger customers using a LMS and customers with multi-phase projects such as consolidations, multi-institution rollouts. Recurring support.</t>
  </si>
  <si>
    <t>Learning Technology Planning: Advanced One</t>
  </si>
  <si>
    <t>25000- Larger customers using a LMS and customers with multi-phase projects such as consolidations, multi-institution rollouts. One time support</t>
  </si>
  <si>
    <t>Ally Deployment and Adoption Planning (ADAP)</t>
  </si>
  <si>
    <t>Ally and Accessibility Planning Service. $15,000</t>
  </si>
  <si>
    <t>Ally &amp; Accessibility Remote Instructor Training (Ally Readiness Training)</t>
  </si>
  <si>
    <t>$2000.00 per 20 participants</t>
  </si>
  <si>
    <t xml:space="preserve">Accessibility Fundamentals for Instructors and Course Designers Online Course </t>
  </si>
  <si>
    <t>$150/seat per participant</t>
  </si>
  <si>
    <t>Blackboard Academy Online Training Subscription</t>
  </si>
  <si>
    <t>$6500 total 20 seats</t>
  </si>
  <si>
    <t>20 seats (additional seats can be added)</t>
  </si>
  <si>
    <t>Design and Development of Online Assessments</t>
  </si>
  <si>
    <t>course included as part of the subscription</t>
  </si>
  <si>
    <t>Getting Started with Learning Analytics</t>
  </si>
  <si>
    <t>Data-Informed Teaching and Learning</t>
  </si>
  <si>
    <t>Digital Teaching &amp; Learning Series (DTLS)</t>
  </si>
  <si>
    <t>$400 per seat/ per participant- Includes Course A,B and C</t>
  </si>
  <si>
    <t>Standard Course Development</t>
  </si>
  <si>
    <t>$6,500/course</t>
  </si>
  <si>
    <t>Continuous Course Improvement</t>
  </si>
  <si>
    <t>Recurring: $65,325/year- This service enables your institution to continually invest in creating high-quality courses, benchmarked against recognized standards of best practices in learning design as part of the Exemplary Courses Program.  Includes Institutional Course Review, Standard Course Development and Exemplary Course Workshop services.</t>
  </si>
  <si>
    <t>Onsite training will need to be scoped separately. Travel fee expenses are excluded from the proposal.</t>
  </si>
  <si>
    <t>Professional Services</t>
  </si>
  <si>
    <t>Insert the types of personnel being proposed with a brief description of their capacity, minimum experience, and the hourly rate.</t>
  </si>
  <si>
    <t>Personnel Category</t>
  </si>
  <si>
    <t>Description</t>
  </si>
  <si>
    <t>Experience</t>
  </si>
  <si>
    <t>Hourly Rate</t>
  </si>
  <si>
    <t>Anthology’s Professional Services department understands the unique requirements facing Higher Education institutions today – from changing market conditions to continued focus on compliance and reporting. The practice employs seasoned industry specialists who apply best practices and prior experiences in their solution implementation approach.
Professional Services teams follow a proven process for implementing and supporting Blackboard Learn Ultra. Throughout the process outlined below, from contract award to go-live, a dedicated Anthology Project Manager and a combination of consultants according the service expertise to be delivered, maintains a regular cadence of checkpoints and status meetings to facilitate stakeholder communications and give teams space to align, adjust, and address any concerns throughout the implementation process, ensuring project success.  To ensure transparency through the implementation, the client will have access to a shared online project tracking site, giving the entire project team access to and the ability to collaborate on project plans, communications, action lists, issue registers, risk registers, and all other project-related documentation. </t>
  </si>
  <si>
    <t>The following table shows a reference of the roles and responsabilities involved during the service implementation according to the areas of expertise. We would normally assigned a combination of the followiing roles as needed to achieve your goals. 
Once we move forward to the next stage of this RFP, we can certainly confirm further details as part of your Statement of Work. We reserve the right to provide CV's or resummes of our personnel at this stage.</t>
  </si>
  <si>
    <t>THE BLACKBOARD TEAM</t>
  </si>
  <si>
    <t>Role</t>
  </si>
  <si>
    <t>Function</t>
  </si>
  <si>
    <t>Commitments</t>
  </si>
  <si>
    <t>Project Manager</t>
  </si>
  <si>
    <t>Primary point of contact for Blackboard</t>
  </si>
  <si>
    <t>All project phases and activities from Initiation to Close.</t>
  </si>
  <si>
    <t>Provides overall leadership for the project team.</t>
  </si>
  <si>
    <t>Responsible for the overall quality of the project.</t>
  </si>
  <si>
    <t>Responsible for scheduling all activities and resources.</t>
  </si>
  <si>
    <t>Leads status meetings along with the Client Project Lead</t>
  </si>
  <si>
    <t>Composes and delivers regular status reports to Client</t>
  </si>
  <si>
    <t>Maintains all project artifacts, project plan and documentation</t>
  </si>
  <si>
    <t>Educational Consultant</t>
  </si>
  <si>
    <t>Expert in Blackboard technology and solutions</t>
  </si>
  <si>
    <t>Planning – Learning Technology Planning</t>
  </si>
  <si>
    <t>Delivers all training</t>
  </si>
  <si>
    <t>Deliver and Monitor – specifically training and implementation support</t>
  </si>
  <si>
    <t>Provides expert guidance and mentoring to Client staff for configuration, conversion of courses to the Learn, and general implementation tasks</t>
  </si>
  <si>
    <t>Implementation Consultant</t>
  </si>
  <si>
    <t>Expert in implementation of Blackboard solution.</t>
  </si>
  <si>
    <t>Leads the planning workshops</t>
  </si>
  <si>
    <t>Conducts learning needs analysis with Client to ensure that implementation plan is consistent with Client strategic goals and LMS requirements</t>
  </si>
  <si>
    <t>Provides expert guidance on strategic implementation decisions and fosters a plan that incorporates long-term learning needs and objectives</t>
  </si>
  <si>
    <t>Migration Consultant</t>
  </si>
  <si>
    <t>Part of Blackboard’s Cloud Services team</t>
  </si>
  <si>
    <t>Planning – SaaS Migration Planning</t>
  </si>
  <si>
    <t>Leads the migration of courses to Learn SaaS system</t>
  </si>
  <si>
    <t>Deliver and Monitor – Status meetings and Test migration</t>
  </si>
  <si>
    <t>Ensures environments are provisioned and operational</t>
  </si>
  <si>
    <t>Go-live and Close – Production migration and launch</t>
  </si>
  <si>
    <t>Leads regular migration meetings focused on the technical migration of courses to Learn</t>
  </si>
  <si>
    <t>Assessment Strategist</t>
  </si>
  <si>
    <t>Conducts all planning and implementation activities for the Outcomes and EAC solutions</t>
  </si>
  <si>
    <t>Planning – Assessment Strategy</t>
  </si>
  <si>
    <t>Deliver and Monitor – Implementation of the solutions</t>
  </si>
  <si>
    <t>Teaching and Learning Specialist</t>
  </si>
  <si>
    <t>Conduct the training associated with the Digital Teaching and Learning solution and provide certification for Client faculty</t>
  </si>
  <si>
    <t>Deliver and Monitor – Delivers all training and workshops associated with Blackboard’s Digital Teaching and Learning solution.</t>
  </si>
  <si>
    <t>Data Consultant</t>
  </si>
  <si>
    <t>Provides planning session around data reporting and analysis</t>
  </si>
  <si>
    <t>Deliver and Monitor – Lead the data planning session and the data query development.</t>
  </si>
  <si>
    <t>Assists the client with writing the set of queries to access the Bb Data solution</t>
  </si>
  <si>
    <t>Integration Consultant</t>
  </si>
  <si>
    <t>Responsible for leading the planning and implementation of integration with the Client Student Information System and other systems</t>
  </si>
  <si>
    <t>Delivery and Monitor -Lead the SIS integration mentoring sessions </t>
  </si>
  <si>
    <t>5,001 -10,000 Users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</si>
</sst>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8" formatCode="&quot;$&quot;#,##0.00_);[Red]\(&quot;$&quot;#,##0.00\)"/>
    <numFmt numFmtId="44" formatCode="_(&quot;$&quot;* #,##0.00_);_(&quot;$&quot;* \(#,##0.00\);_(&quot;$&quot;* &quot;-&quot;??_);_(@_)"/>
    <numFmt numFmtId="164" formatCode="&quot;$&quot;#,##0.00"/>
    <numFmt numFmtId="165" formatCode="&quot;$&quot;#,##0"/>
  </numFmts>
  <fonts count="43">
    <font>
      <sz val="11"/>
      <color theme="1"/>
      <name val="Calibri"/>
      <family val="2"/>
      <scheme val="minor"/>
    </font>
    <font>
      <sz val="12"/>
      <color theme="1"/>
      <name val="Calibri"/>
      <family val="2"/>
      <scheme val="minor"/>
    </font>
    <font>
      <b/>
      <sz val="11"/>
      <color theme="1"/>
      <name val="Calibri"/>
      <family val="2"/>
      <scheme val="minor"/>
    </font>
    <font>
      <i/>
      <sz val="11"/>
      <color theme="1"/>
      <name val="Calibri"/>
      <family val="2"/>
      <scheme val="minor"/>
    </font>
    <font>
      <i/>
      <sz val="10"/>
      <name val="Calibri"/>
      <family val="2"/>
      <scheme val="minor"/>
    </font>
    <font>
      <b/>
      <sz val="16"/>
      <color theme="1"/>
      <name val="Calibri"/>
      <family val="2"/>
      <scheme val="minor"/>
    </font>
    <font>
      <b/>
      <sz val="18"/>
      <color theme="1"/>
      <name val="Calibri"/>
      <family val="2"/>
      <scheme val="minor"/>
    </font>
    <font>
      <u/>
      <sz val="12"/>
      <color theme="1"/>
      <name val="Calibri"/>
      <family val="2"/>
      <scheme val="minor"/>
    </font>
    <font>
      <sz val="11"/>
      <color theme="1"/>
      <name val="Calibri"/>
      <family val="2"/>
      <scheme val="minor"/>
    </font>
    <font>
      <b/>
      <i/>
      <sz val="14"/>
      <color theme="1"/>
      <name val="Calibri"/>
      <family val="2"/>
      <scheme val="minor"/>
    </font>
    <font>
      <b/>
      <sz val="14"/>
      <color theme="1"/>
      <name val="Calibri (Body)"/>
    </font>
    <font>
      <b/>
      <sz val="14"/>
      <color theme="1"/>
      <name val="Calibri"/>
      <family val="2"/>
      <scheme val="minor"/>
    </font>
    <font>
      <b/>
      <u/>
      <sz val="14"/>
      <color theme="1"/>
      <name val="Calibri"/>
      <family val="2"/>
      <scheme val="minor"/>
    </font>
    <font>
      <b/>
      <sz val="11"/>
      <color rgb="FF000000"/>
      <name val="Calibri"/>
      <family val="2"/>
      <scheme val="minor"/>
    </font>
    <font>
      <sz val="11"/>
      <color rgb="FF000000"/>
      <name val="Calibri"/>
      <family val="2"/>
      <scheme val="minor"/>
    </font>
    <font>
      <sz val="8"/>
      <name val="Calibri"/>
      <family val="2"/>
      <scheme val="minor"/>
    </font>
    <font>
      <sz val="11"/>
      <color rgb="FFFF0000"/>
      <name val="Calibri"/>
      <family val="2"/>
      <scheme val="minor"/>
    </font>
    <font>
      <b/>
      <sz val="11"/>
      <color rgb="FFFF0000"/>
      <name val="Calibri"/>
      <family val="2"/>
      <scheme val="minor"/>
    </font>
    <font>
      <u/>
      <sz val="11"/>
      <color theme="10"/>
      <name val="Calibri"/>
      <family val="2"/>
      <scheme val="minor"/>
    </font>
    <font>
      <u/>
      <sz val="11"/>
      <color rgb="FFFF0000"/>
      <name val="Calibri"/>
      <family val="2"/>
      <scheme val="minor"/>
    </font>
    <font>
      <i/>
      <sz val="10"/>
      <name val="Calibri"/>
      <family val="2"/>
    </font>
    <font>
      <sz val="11"/>
      <color rgb="FF000000"/>
      <name val="Calibri"/>
      <family val="2"/>
    </font>
    <font>
      <i/>
      <sz val="10"/>
      <color rgb="FF000000"/>
      <name val="Calibri"/>
      <family val="2"/>
      <scheme val="minor"/>
    </font>
    <font>
      <i/>
      <sz val="11"/>
      <color rgb="FF000000"/>
      <name val="Calibri"/>
      <family val="2"/>
      <scheme val="minor"/>
    </font>
    <font>
      <b/>
      <sz val="16"/>
      <color rgb="FF000000"/>
      <name val="Arial"/>
      <family val="2"/>
    </font>
    <font>
      <b/>
      <sz val="11"/>
      <color rgb="FF000000"/>
      <name val="Arial"/>
      <family val="2"/>
    </font>
    <font>
      <sz val="11"/>
      <color rgb="FF000000"/>
      <name val="Arial"/>
      <family val="2"/>
    </font>
    <font>
      <b/>
      <sz val="11"/>
      <color theme="0"/>
      <name val="Calibri"/>
      <family val="2"/>
      <scheme val="minor"/>
    </font>
    <font>
      <b/>
      <u/>
      <sz val="11"/>
      <color theme="0"/>
      <name val="Calibri"/>
      <family val="2"/>
      <scheme val="minor"/>
    </font>
    <font>
      <b/>
      <sz val="12"/>
      <color theme="1"/>
      <name val="Calibri"/>
      <family val="2"/>
      <scheme val="minor"/>
    </font>
    <font>
      <b/>
      <i/>
      <sz val="11"/>
      <color theme="1"/>
      <name val="Calibri"/>
      <family val="2"/>
      <scheme val="minor"/>
    </font>
    <font>
      <b/>
      <sz val="14"/>
      <color rgb="FF000000"/>
      <name val="Calibri"/>
      <family val="2"/>
      <scheme val="minor"/>
    </font>
    <font>
      <b/>
      <i/>
      <sz val="11"/>
      <color rgb="FF000000"/>
      <name val="Calibri"/>
      <family val="2"/>
      <scheme val="minor"/>
    </font>
    <font>
      <sz val="11"/>
      <name val="Arial"/>
    </font>
    <font>
      <b/>
      <sz val="11"/>
      <color rgb="FFFFFFFF"/>
      <name val="Calibri"/>
    </font>
    <font>
      <sz val="12"/>
      <color rgb="FF000000"/>
      <name val="Calibri"/>
    </font>
    <font>
      <b/>
      <sz val="14"/>
      <name val="Calibri"/>
      <family val="2"/>
      <scheme val="minor"/>
    </font>
    <font>
      <b/>
      <sz val="11"/>
      <name val="Calibri"/>
      <family val="2"/>
      <scheme val="minor"/>
    </font>
    <font>
      <sz val="11"/>
      <name val="Calibri"/>
      <family val="2"/>
      <scheme val="minor"/>
    </font>
    <font>
      <b/>
      <sz val="14"/>
      <color rgb="FF000000"/>
      <name val="Calibri"/>
    </font>
    <font>
      <sz val="11"/>
      <color rgb="FF000000"/>
      <name val="Calibri"/>
    </font>
    <font>
      <b/>
      <u/>
      <sz val="14"/>
      <color rgb="FF000000"/>
      <name val="Calibri"/>
    </font>
    <font>
      <b/>
      <sz val="11"/>
      <color rgb="FF000000"/>
      <name val="Calibri"/>
    </font>
  </fonts>
  <fills count="17">
    <fill>
      <patternFill patternType="none"/>
    </fill>
    <fill>
      <patternFill patternType="gray125"/>
    </fill>
    <fill>
      <patternFill patternType="solid">
        <fgColor theme="0" tint="-0.14999847407452621"/>
        <bgColor theme="0" tint="-0.14999847407452621"/>
      </patternFill>
    </fill>
    <fill>
      <patternFill patternType="solid">
        <fgColor rgb="FFD9D9D9"/>
        <bgColor rgb="FFD9D9D9"/>
      </patternFill>
    </fill>
    <fill>
      <patternFill patternType="solid">
        <fgColor theme="0" tint="-0.14999847407452621"/>
        <bgColor indexed="64"/>
      </patternFill>
    </fill>
    <fill>
      <patternFill patternType="solid">
        <fgColor theme="0"/>
        <bgColor rgb="FFD9D9D9"/>
      </patternFill>
    </fill>
    <fill>
      <patternFill patternType="solid">
        <fgColor theme="4" tint="-0.49998474074526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BFBFBF"/>
        <bgColor indexed="64"/>
      </patternFill>
    </fill>
    <fill>
      <patternFill patternType="solid">
        <fgColor rgb="FFD9D9D9"/>
        <bgColor indexed="64"/>
      </patternFill>
    </fill>
    <fill>
      <patternFill patternType="solid">
        <fgColor rgb="FFF2F2F2"/>
        <bgColor indexed="64"/>
      </patternFill>
    </fill>
    <fill>
      <patternFill patternType="solid">
        <fgColor rgb="FF000000"/>
        <bgColor indexed="64"/>
      </patternFill>
    </fill>
    <fill>
      <patternFill patternType="solid">
        <fgColor rgb="FFE8E8E9"/>
        <bgColor indexed="64"/>
      </patternFill>
    </fill>
    <fill>
      <patternFill patternType="solid">
        <fgColor theme="0"/>
        <bgColor indexed="64"/>
      </patternFill>
    </fill>
    <fill>
      <patternFill patternType="solid">
        <fgColor rgb="FFFFFFFF"/>
        <bgColor rgb="FFD9D9D9"/>
      </patternFill>
    </fill>
    <fill>
      <patternFill patternType="solid">
        <fgColor rgb="FFD9D9D9"/>
        <bgColor rgb="FF000000"/>
      </patternFill>
    </fill>
  </fills>
  <borders count="27">
    <border>
      <left/>
      <right/>
      <top/>
      <bottom/>
      <diagonal/>
    </border>
    <border>
      <left/>
      <right/>
      <top style="thin">
        <color auto="1"/>
      </top>
      <bottom/>
      <diagonal/>
    </border>
    <border>
      <left/>
      <right/>
      <top style="thin">
        <color theme="1"/>
      </top>
      <bottom style="thin">
        <color theme="1"/>
      </bottom>
      <diagonal/>
    </border>
    <border>
      <left/>
      <right/>
      <top/>
      <bottom style="thin">
        <color theme="1"/>
      </bottom>
      <diagonal/>
    </border>
    <border>
      <left style="thin">
        <color indexed="64"/>
      </left>
      <right style="thin">
        <color indexed="64"/>
      </right>
      <top style="thin">
        <color indexed="64"/>
      </top>
      <bottom style="thin">
        <color indexed="64"/>
      </bottom>
      <diagonal/>
    </border>
    <border>
      <left/>
      <right/>
      <top style="thin">
        <color rgb="FF000000"/>
      </top>
      <bottom style="thin">
        <color rgb="FF000000"/>
      </bottom>
      <diagonal/>
    </border>
    <border>
      <left/>
      <right/>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A3A3A3"/>
      </left>
      <right style="medium">
        <color rgb="FFA3A3A3"/>
      </right>
      <top style="medium">
        <color rgb="FFA3A3A3"/>
      </top>
      <bottom style="medium">
        <color rgb="FFA3A3A3"/>
      </bottom>
      <diagonal/>
    </border>
    <border>
      <left style="medium">
        <color rgb="FFA3A3A3"/>
      </left>
      <right/>
      <top style="medium">
        <color rgb="FFA3A3A3"/>
      </top>
      <bottom style="medium">
        <color rgb="FFA3A3A3"/>
      </bottom>
      <diagonal/>
    </border>
    <border>
      <left/>
      <right/>
      <top style="medium">
        <color rgb="FFA3A3A3"/>
      </top>
      <bottom style="medium">
        <color rgb="FFA3A3A3"/>
      </bottom>
      <diagonal/>
    </border>
    <border>
      <left/>
      <right style="medium">
        <color rgb="FFA3A3A3"/>
      </right>
      <top style="medium">
        <color rgb="FFA3A3A3"/>
      </top>
      <bottom style="medium">
        <color rgb="FFA3A3A3"/>
      </bottom>
      <diagonal/>
    </border>
    <border>
      <left/>
      <right/>
      <top/>
      <bottom style="medium">
        <color rgb="FFFFFFFF"/>
      </bottom>
      <diagonal/>
    </border>
    <border>
      <left style="medium">
        <color rgb="FFFFFFFF"/>
      </left>
      <right style="medium">
        <color rgb="FFFFFFFF"/>
      </right>
      <top style="medium">
        <color rgb="FFFFFFFF"/>
      </top>
      <bottom style="medium">
        <color rgb="FFFFFFFF"/>
      </bottom>
      <diagonal/>
    </border>
  </borders>
  <cellStyleXfs count="3">
    <xf numFmtId="0" fontId="0" fillId="0" borderId="0"/>
    <xf numFmtId="44" fontId="8" fillId="0" borderId="0" applyFont="0" applyFill="0" applyBorder="0" applyAlignment="0" applyProtection="0"/>
    <xf numFmtId="0" fontId="18" fillId="0" borderId="0" applyNumberFormat="0" applyFill="0" applyBorder="0" applyAlignment="0" applyProtection="0"/>
  </cellStyleXfs>
  <cellXfs count="175">
    <xf numFmtId="0" fontId="0" fillId="0" borderId="0" xfId="0"/>
    <xf numFmtId="0" fontId="2" fillId="0" borderId="0" xfId="0" applyFont="1"/>
    <xf numFmtId="0" fontId="3" fillId="0" borderId="0" xfId="0" applyFont="1"/>
    <xf numFmtId="0" fontId="4" fillId="0" borderId="0" xfId="0" applyFont="1" applyAlignment="1">
      <alignment horizontal="left" vertical="top" wrapText="1"/>
    </xf>
    <xf numFmtId="0" fontId="4" fillId="0" borderId="0" xfId="0" applyFont="1" applyAlignment="1">
      <alignment vertical="top" wrapText="1"/>
    </xf>
    <xf numFmtId="164" fontId="2" fillId="0" borderId="0" xfId="0" applyNumberFormat="1" applyFont="1"/>
    <xf numFmtId="164" fontId="0" fillId="0" borderId="0" xfId="0" applyNumberFormat="1"/>
    <xf numFmtId="164" fontId="2" fillId="0" borderId="0" xfId="0" applyNumberFormat="1" applyFont="1" applyAlignment="1">
      <alignment horizontal="center"/>
    </xf>
    <xf numFmtId="0" fontId="5" fillId="0" borderId="0" xfId="0" applyFont="1"/>
    <xf numFmtId="0" fontId="3" fillId="0" borderId="0" xfId="0" applyFont="1" applyAlignment="1">
      <alignment wrapText="1"/>
    </xf>
    <xf numFmtId="0" fontId="0" fillId="2" borderId="0" xfId="0" applyFill="1"/>
    <xf numFmtId="164" fontId="0" fillId="0" borderId="0" xfId="0" applyNumberFormat="1" applyAlignment="1">
      <alignment horizontal="center"/>
    </xf>
    <xf numFmtId="0" fontId="0" fillId="2" borderId="3" xfId="0" applyFill="1" applyBorder="1"/>
    <xf numFmtId="0" fontId="9" fillId="0" borderId="0" xfId="0" applyFont="1"/>
    <xf numFmtId="0" fontId="10" fillId="0" borderId="0" xfId="0" applyFont="1"/>
    <xf numFmtId="0" fontId="11" fillId="0" borderId="0" xfId="0" applyFont="1"/>
    <xf numFmtId="0" fontId="12" fillId="0" borderId="1" xfId="0" applyFont="1" applyBorder="1"/>
    <xf numFmtId="0" fontId="12" fillId="0" borderId="0" xfId="0" applyFont="1"/>
    <xf numFmtId="0" fontId="12" fillId="0" borderId="0" xfId="0" applyFont="1" applyAlignment="1">
      <alignment vertical="center"/>
    </xf>
    <xf numFmtId="0" fontId="2" fillId="0" borderId="4" xfId="0" applyFont="1" applyBorder="1" applyAlignment="1">
      <alignment horizontal="left" vertical="center" wrapText="1"/>
    </xf>
    <xf numFmtId="44" fontId="2" fillId="0" borderId="4" xfId="1" applyFont="1" applyBorder="1" applyAlignment="1">
      <alignment horizontal="center" vertical="center" wrapText="1"/>
    </xf>
    <xf numFmtId="0" fontId="0" fillId="0" borderId="4" xfId="0" applyBorder="1" applyAlignment="1">
      <alignment vertical="center" wrapText="1"/>
    </xf>
    <xf numFmtId="164" fontId="0" fillId="0" borderId="4" xfId="0" applyNumberFormat="1" applyBorder="1" applyAlignment="1">
      <alignment horizontal="center" vertical="center" wrapText="1"/>
    </xf>
    <xf numFmtId="0" fontId="0" fillId="0" borderId="4" xfId="0" applyBorder="1" applyAlignment="1">
      <alignment horizontal="left" vertical="center" wrapText="1"/>
    </xf>
    <xf numFmtId="0" fontId="12" fillId="0" borderId="0" xfId="0" applyFont="1" applyAlignment="1">
      <alignment horizontal="left"/>
    </xf>
    <xf numFmtId="8" fontId="0" fillId="0" borderId="0" xfId="0" applyNumberFormat="1" applyAlignment="1">
      <alignment horizontal="center"/>
    </xf>
    <xf numFmtId="0" fontId="2" fillId="0" borderId="2" xfId="0" applyFont="1" applyBorder="1"/>
    <xf numFmtId="164" fontId="2" fillId="0" borderId="2" xfId="0" applyNumberFormat="1" applyFont="1" applyBorder="1"/>
    <xf numFmtId="6" fontId="0" fillId="0" borderId="4" xfId="1" applyNumberFormat="1" applyFont="1" applyBorder="1" applyAlignment="1">
      <alignment horizontal="center" vertical="center" wrapText="1"/>
    </xf>
    <xf numFmtId="164" fontId="2" fillId="2" borderId="0" xfId="0" applyNumberFormat="1" applyFont="1" applyFill="1" applyAlignment="1">
      <alignment horizontal="center"/>
    </xf>
    <xf numFmtId="164" fontId="2" fillId="2" borderId="3" xfId="0" applyNumberFormat="1" applyFont="1" applyFill="1" applyBorder="1" applyAlignment="1">
      <alignment horizontal="center"/>
    </xf>
    <xf numFmtId="164" fontId="0" fillId="2" borderId="0" xfId="0" applyNumberFormat="1" applyFill="1" applyAlignment="1">
      <alignment horizontal="center"/>
    </xf>
    <xf numFmtId="164" fontId="0" fillId="2" borderId="3" xfId="0" applyNumberFormat="1" applyFill="1" applyBorder="1" applyAlignment="1">
      <alignment horizontal="center"/>
    </xf>
    <xf numFmtId="0" fontId="13" fillId="0" borderId="5" xfId="0" applyFont="1" applyBorder="1"/>
    <xf numFmtId="164" fontId="13" fillId="0" borderId="5" xfId="0" applyNumberFormat="1" applyFont="1" applyBorder="1"/>
    <xf numFmtId="0" fontId="14" fillId="3" borderId="0" xfId="0" applyFont="1" applyFill="1"/>
    <xf numFmtId="164" fontId="13" fillId="3" borderId="0" xfId="0" applyNumberFormat="1" applyFont="1" applyFill="1" applyAlignment="1">
      <alignment horizontal="center"/>
    </xf>
    <xf numFmtId="164" fontId="14" fillId="3" borderId="0" xfId="0" applyNumberFormat="1" applyFont="1" applyFill="1" applyAlignment="1">
      <alignment horizontal="center"/>
    </xf>
    <xf numFmtId="0" fontId="14" fillId="0" borderId="0" xfId="0" applyFont="1"/>
    <xf numFmtId="164" fontId="13" fillId="0" borderId="0" xfId="0" applyNumberFormat="1" applyFont="1" applyAlignment="1">
      <alignment horizontal="center"/>
    </xf>
    <xf numFmtId="164" fontId="14" fillId="0" borderId="0" xfId="0" applyNumberFormat="1" applyFont="1" applyAlignment="1">
      <alignment horizontal="center"/>
    </xf>
    <xf numFmtId="0" fontId="14" fillId="3" borderId="6" xfId="0" applyFont="1" applyFill="1" applyBorder="1"/>
    <xf numFmtId="164" fontId="13" fillId="3" borderId="6" xfId="0" applyNumberFormat="1" applyFont="1" applyFill="1" applyBorder="1" applyAlignment="1">
      <alignment horizontal="center"/>
    </xf>
    <xf numFmtId="164" fontId="14" fillId="3" borderId="6" xfId="0" applyNumberFormat="1" applyFont="1" applyFill="1" applyBorder="1" applyAlignment="1">
      <alignment horizontal="center"/>
    </xf>
    <xf numFmtId="0" fontId="14" fillId="4" borderId="0" xfId="0" applyFont="1" applyFill="1"/>
    <xf numFmtId="164" fontId="13" fillId="5" borderId="0" xfId="0" applyNumberFormat="1" applyFont="1" applyFill="1" applyAlignment="1">
      <alignment horizontal="center"/>
    </xf>
    <xf numFmtId="0" fontId="14" fillId="5" borderId="6" xfId="0" applyFont="1" applyFill="1" applyBorder="1"/>
    <xf numFmtId="164" fontId="13" fillId="5" borderId="6" xfId="0" applyNumberFormat="1" applyFont="1" applyFill="1" applyBorder="1" applyAlignment="1">
      <alignment horizontal="center"/>
    </xf>
    <xf numFmtId="164" fontId="14" fillId="5" borderId="6" xfId="0" applyNumberFormat="1" applyFont="1" applyFill="1" applyBorder="1" applyAlignment="1">
      <alignment horizontal="center"/>
    </xf>
    <xf numFmtId="164" fontId="0" fillId="4" borderId="0" xfId="0" applyNumberFormat="1" applyFill="1" applyAlignment="1">
      <alignment horizontal="center"/>
    </xf>
    <xf numFmtId="0" fontId="16" fillId="0" borderId="0" xfId="0" applyFont="1"/>
    <xf numFmtId="0" fontId="17" fillId="0" borderId="0" xfId="0" applyFont="1" applyAlignment="1">
      <alignment horizontal="left" vertical="center" wrapText="1"/>
    </xf>
    <xf numFmtId="0" fontId="17" fillId="0" borderId="0" xfId="0" applyFont="1"/>
    <xf numFmtId="0" fontId="19" fillId="0" borderId="0" xfId="2" applyFont="1"/>
    <xf numFmtId="8" fontId="0" fillId="0" borderId="0" xfId="0" applyNumberFormat="1" applyAlignment="1">
      <alignment horizontal="left" vertical="center" wrapText="1"/>
    </xf>
    <xf numFmtId="164" fontId="0" fillId="0" borderId="0" xfId="0" applyNumberFormat="1" applyAlignment="1">
      <alignment horizontal="left"/>
    </xf>
    <xf numFmtId="0" fontId="3" fillId="0" borderId="0" xfId="0" applyFont="1" applyAlignment="1">
      <alignment horizontal="left"/>
    </xf>
    <xf numFmtId="0" fontId="21" fillId="0" borderId="0" xfId="0" applyFont="1"/>
    <xf numFmtId="0" fontId="20" fillId="0" borderId="0" xfId="0" applyFont="1" applyAlignment="1">
      <alignment wrapText="1"/>
    </xf>
    <xf numFmtId="164" fontId="22" fillId="0" borderId="0" xfId="0" applyNumberFormat="1" applyFont="1" applyAlignment="1">
      <alignment horizontal="left" vertical="top" wrapText="1"/>
    </xf>
    <xf numFmtId="0" fontId="22" fillId="0" borderId="0" xfId="0" applyFont="1" applyAlignment="1">
      <alignment horizontal="left" vertical="top" wrapText="1"/>
    </xf>
    <xf numFmtId="164" fontId="14" fillId="0" borderId="0" xfId="0" applyNumberFormat="1" applyFont="1"/>
    <xf numFmtId="0" fontId="23" fillId="0" borderId="0" xfId="0" applyFont="1"/>
    <xf numFmtId="0" fontId="24" fillId="0" borderId="0" xfId="0" applyFont="1"/>
    <xf numFmtId="0" fontId="25" fillId="0" borderId="0" xfId="0" applyFont="1"/>
    <xf numFmtId="0" fontId="26" fillId="0" borderId="0" xfId="0" applyFont="1"/>
    <xf numFmtId="0" fontId="27" fillId="6" borderId="10" xfId="0" applyFont="1" applyFill="1" applyBorder="1"/>
    <xf numFmtId="0" fontId="27" fillId="6" borderId="10" xfId="0" applyFont="1" applyFill="1" applyBorder="1" applyAlignment="1">
      <alignment horizontal="center"/>
    </xf>
    <xf numFmtId="0" fontId="2" fillId="0" borderId="4" xfId="0" applyFont="1" applyBorder="1"/>
    <xf numFmtId="164" fontId="0" fillId="0" borderId="4" xfId="0" applyNumberFormat="1" applyBorder="1" applyAlignment="1">
      <alignment horizontal="center"/>
    </xf>
    <xf numFmtId="165" fontId="0" fillId="0" borderId="4" xfId="0" applyNumberFormat="1" applyBorder="1" applyAlignment="1">
      <alignment horizontal="center"/>
    </xf>
    <xf numFmtId="0" fontId="2" fillId="0" borderId="13" xfId="0" applyFont="1" applyBorder="1"/>
    <xf numFmtId="0" fontId="0" fillId="0" borderId="14" xfId="0" applyBorder="1" applyAlignment="1">
      <alignment horizontal="center"/>
    </xf>
    <xf numFmtId="0" fontId="2" fillId="0" borderId="15" xfId="0" applyFont="1" applyBorder="1"/>
    <xf numFmtId="0" fontId="0" fillId="0" borderId="16" xfId="0" applyBorder="1" applyAlignment="1">
      <alignment horizontal="center"/>
    </xf>
    <xf numFmtId="0" fontId="27" fillId="6" borderId="4" xfId="0" applyFont="1" applyFill="1" applyBorder="1"/>
    <xf numFmtId="0" fontId="27" fillId="6" borderId="4" xfId="0" applyFont="1" applyFill="1" applyBorder="1" applyAlignment="1">
      <alignment horizontal="center"/>
    </xf>
    <xf numFmtId="164" fontId="0" fillId="0" borderId="4" xfId="0" applyNumberFormat="1" applyBorder="1"/>
    <xf numFmtId="8" fontId="0" fillId="0" borderId="4" xfId="0" applyNumberFormat="1" applyBorder="1"/>
    <xf numFmtId="0" fontId="0" fillId="0" borderId="4" xfId="0" applyBorder="1"/>
    <xf numFmtId="0" fontId="2" fillId="0" borderId="18" xfId="0" applyFont="1" applyBorder="1"/>
    <xf numFmtId="8" fontId="0" fillId="0" borderId="19" xfId="0" applyNumberFormat="1" applyBorder="1"/>
    <xf numFmtId="0" fontId="0" fillId="0" borderId="20" xfId="0" applyBorder="1"/>
    <xf numFmtId="0" fontId="3" fillId="0" borderId="21" xfId="0" applyFont="1" applyBorder="1" applyAlignment="1">
      <alignment vertical="center" wrapText="1"/>
    </xf>
    <xf numFmtId="8" fontId="0" fillId="0" borderId="21" xfId="0" applyNumberFormat="1" applyBorder="1" applyAlignment="1">
      <alignment vertical="center" wrapText="1"/>
    </xf>
    <xf numFmtId="0" fontId="30" fillId="0" borderId="4" xfId="0" applyFont="1" applyBorder="1"/>
    <xf numFmtId="0" fontId="2" fillId="7" borderId="4" xfId="0" applyFont="1" applyFill="1" applyBorder="1"/>
    <xf numFmtId="3" fontId="0" fillId="8" borderId="4" xfId="0" applyNumberFormat="1" applyFill="1" applyBorder="1"/>
    <xf numFmtId="164" fontId="0" fillId="8" borderId="4" xfId="0" applyNumberFormat="1" applyFill="1" applyBorder="1"/>
    <xf numFmtId="3" fontId="0" fillId="0" borderId="4" xfId="0" applyNumberFormat="1" applyBorder="1"/>
    <xf numFmtId="0" fontId="13" fillId="11" borderId="21" xfId="0" applyFont="1" applyFill="1" applyBorder="1" applyAlignment="1">
      <alignment horizontal="right" vertical="center" wrapText="1"/>
    </xf>
    <xf numFmtId="164" fontId="13" fillId="11" borderId="21" xfId="0" applyNumberFormat="1" applyFont="1" applyFill="1" applyBorder="1" applyAlignment="1">
      <alignment horizontal="right" vertical="center" wrapText="1"/>
    </xf>
    <xf numFmtId="0" fontId="14" fillId="0" borderId="21" xfId="0" applyFont="1" applyBorder="1" applyAlignment="1">
      <alignment horizontal="right" vertical="center" wrapText="1"/>
    </xf>
    <xf numFmtId="164" fontId="14" fillId="0" borderId="21" xfId="0" applyNumberFormat="1" applyFont="1" applyBorder="1" applyAlignment="1">
      <alignment horizontal="right" vertical="center" wrapText="1"/>
    </xf>
    <xf numFmtId="0" fontId="0" fillId="0" borderId="21" xfId="0" applyBorder="1" applyAlignment="1">
      <alignment vertical="center" wrapText="1"/>
    </xf>
    <xf numFmtId="164" fontId="0" fillId="0" borderId="21" xfId="0" applyNumberFormat="1" applyBorder="1" applyAlignment="1">
      <alignment vertical="center" wrapText="1"/>
    </xf>
    <xf numFmtId="0" fontId="14" fillId="0" borderId="0" xfId="0" applyFont="1" applyAlignment="1">
      <alignment horizontal="right" vertical="center" wrapText="1"/>
    </xf>
    <xf numFmtId="164" fontId="14" fillId="0" borderId="0" xfId="0" applyNumberFormat="1" applyFont="1" applyAlignment="1">
      <alignment horizontal="right" vertical="center" wrapText="1"/>
    </xf>
    <xf numFmtId="0" fontId="0" fillId="0" borderId="0" xfId="0" applyAlignment="1">
      <alignment vertical="center" wrapText="1"/>
    </xf>
    <xf numFmtId="164" fontId="0" fillId="0" borderId="0" xfId="0" applyNumberFormat="1" applyAlignment="1">
      <alignment vertical="center" wrapText="1"/>
    </xf>
    <xf numFmtId="0" fontId="33" fillId="12" borderId="26" xfId="0" applyFont="1" applyFill="1" applyBorder="1" applyAlignment="1">
      <alignment horizontal="center" vertical="center" wrapText="1"/>
    </xf>
    <xf numFmtId="0" fontId="34" fillId="12" borderId="26" xfId="0" applyFont="1" applyFill="1" applyBorder="1" applyAlignment="1">
      <alignment horizontal="center" vertical="center" wrapText="1" readingOrder="1"/>
    </xf>
    <xf numFmtId="0" fontId="35" fillId="13" borderId="26" xfId="0" applyFont="1" applyFill="1" applyBorder="1" applyAlignment="1">
      <alignment horizontal="left" vertical="center" wrapText="1" readingOrder="1"/>
    </xf>
    <xf numFmtId="0" fontId="35" fillId="13" borderId="26" xfId="0" applyFont="1" applyFill="1" applyBorder="1" applyAlignment="1">
      <alignment horizontal="center" vertical="center" wrapText="1" readingOrder="1"/>
    </xf>
    <xf numFmtId="6" fontId="35" fillId="13" borderId="26" xfId="0" applyNumberFormat="1" applyFont="1" applyFill="1" applyBorder="1" applyAlignment="1">
      <alignment horizontal="center" vertical="center" wrapText="1" readingOrder="1"/>
    </xf>
    <xf numFmtId="6" fontId="0" fillId="0" borderId="0" xfId="0" applyNumberFormat="1"/>
    <xf numFmtId="9" fontId="0" fillId="0" borderId="0" xfId="0" applyNumberFormat="1"/>
    <xf numFmtId="0" fontId="36" fillId="0" borderId="0" xfId="0" applyFont="1"/>
    <xf numFmtId="164" fontId="37" fillId="0" borderId="0" xfId="0" applyNumberFormat="1" applyFont="1" applyAlignment="1">
      <alignment horizontal="center"/>
    </xf>
    <xf numFmtId="164" fontId="38" fillId="0" borderId="0" xfId="0" applyNumberFormat="1" applyFont="1"/>
    <xf numFmtId="164" fontId="13" fillId="14" borderId="0" xfId="0" applyNumberFormat="1" applyFont="1" applyFill="1" applyAlignment="1">
      <alignment horizontal="center"/>
    </xf>
    <xf numFmtId="164" fontId="0" fillId="14" borderId="3" xfId="0" applyNumberFormat="1" applyFill="1" applyBorder="1" applyAlignment="1">
      <alignment horizontal="center"/>
    </xf>
    <xf numFmtId="164" fontId="14" fillId="0" borderId="0" xfId="0" applyNumberFormat="1" applyFont="1" applyAlignment="1">
      <alignment wrapText="1"/>
    </xf>
    <xf numFmtId="0" fontId="14" fillId="0" borderId="0" xfId="0" applyFont="1" applyAlignment="1">
      <alignment vertical="center"/>
    </xf>
    <xf numFmtId="0" fontId="22" fillId="0" borderId="0" xfId="0" applyFont="1" applyAlignment="1">
      <alignment horizontal="left" vertical="center" wrapText="1"/>
    </xf>
    <xf numFmtId="0" fontId="14" fillId="0" borderId="0" xfId="0" applyFont="1" applyAlignment="1">
      <alignment wrapText="1"/>
    </xf>
    <xf numFmtId="164" fontId="14" fillId="0" borderId="0" xfId="0" applyNumberFormat="1" applyFont="1" applyAlignment="1">
      <alignment horizontal="center" vertical="center"/>
    </xf>
    <xf numFmtId="164" fontId="4" fillId="0" borderId="0" xfId="0" applyNumberFormat="1" applyFont="1" applyAlignment="1">
      <alignment horizontal="center" vertical="top" wrapText="1"/>
    </xf>
    <xf numFmtId="164" fontId="2" fillId="4" borderId="0" xfId="0" applyNumberFormat="1" applyFont="1" applyFill="1" applyAlignment="1">
      <alignment horizontal="center"/>
    </xf>
    <xf numFmtId="164" fontId="22" fillId="0" borderId="0" xfId="0" applyNumberFormat="1" applyFont="1" applyAlignment="1">
      <alignment horizontal="center" vertical="top" wrapText="1"/>
    </xf>
    <xf numFmtId="0" fontId="14" fillId="14" borderId="6" xfId="0" applyFont="1" applyFill="1" applyBorder="1"/>
    <xf numFmtId="164" fontId="13" fillId="14" borderId="6" xfId="0" applyNumberFormat="1" applyFont="1" applyFill="1" applyBorder="1" applyAlignment="1">
      <alignment horizontal="center"/>
    </xf>
    <xf numFmtId="164" fontId="14" fillId="14" borderId="6" xfId="0" applyNumberFormat="1" applyFont="1" applyFill="1" applyBorder="1" applyAlignment="1">
      <alignment horizontal="center"/>
    </xf>
    <xf numFmtId="0" fontId="0" fillId="14" borderId="0" xfId="0" applyFill="1"/>
    <xf numFmtId="0" fontId="39" fillId="0" borderId="0" xfId="0" applyFont="1"/>
    <xf numFmtId="0" fontId="40" fillId="0" borderId="0" xfId="0" applyFont="1"/>
    <xf numFmtId="0" fontId="41" fillId="0" borderId="0" xfId="0" applyFont="1"/>
    <xf numFmtId="0" fontId="42" fillId="0" borderId="5" xfId="0" applyFont="1" applyBorder="1"/>
    <xf numFmtId="0" fontId="40" fillId="3" borderId="0" xfId="0" applyFont="1" applyFill="1"/>
    <xf numFmtId="0" fontId="40" fillId="16" borderId="0" xfId="0" applyFont="1" applyFill="1"/>
    <xf numFmtId="0" fontId="42" fillId="3" borderId="0" xfId="0" applyFont="1" applyFill="1" applyAlignment="1">
      <alignment horizontal="center"/>
    </xf>
    <xf numFmtId="8" fontId="40" fillId="3" borderId="0" xfId="0" applyNumberFormat="1" applyFont="1" applyFill="1" applyAlignment="1">
      <alignment horizontal="center"/>
    </xf>
    <xf numFmtId="0" fontId="42" fillId="15" borderId="0" xfId="0" applyFont="1" applyFill="1" applyAlignment="1">
      <alignment horizontal="center"/>
    </xf>
    <xf numFmtId="0" fontId="42" fillId="0" borderId="0" xfId="0" applyFont="1" applyAlignment="1">
      <alignment horizontal="center"/>
    </xf>
    <xf numFmtId="8" fontId="40" fillId="0" borderId="0" xfId="0" applyNumberFormat="1" applyFont="1" applyAlignment="1">
      <alignment horizontal="center"/>
    </xf>
    <xf numFmtId="0" fontId="42" fillId="3" borderId="6" xfId="0" applyFont="1" applyFill="1" applyBorder="1" applyAlignment="1">
      <alignment horizontal="center"/>
    </xf>
    <xf numFmtId="8" fontId="40" fillId="3" borderId="6" xfId="0" applyNumberFormat="1" applyFont="1" applyFill="1" applyBorder="1" applyAlignment="1">
      <alignment horizontal="center"/>
    </xf>
    <xf numFmtId="0" fontId="40" fillId="0" borderId="0" xfId="0" applyFont="1" applyAlignment="1">
      <alignment horizontal="center"/>
    </xf>
    <xf numFmtId="0" fontId="40" fillId="16" borderId="0" xfId="0" applyFont="1" applyFill="1" applyAlignment="1">
      <alignment horizontal="center"/>
    </xf>
    <xf numFmtId="8" fontId="40" fillId="16" borderId="0" xfId="0" applyNumberFormat="1" applyFont="1" applyFill="1" applyAlignment="1">
      <alignment horizontal="center"/>
    </xf>
    <xf numFmtId="1" fontId="14" fillId="3" borderId="0" xfId="0" applyNumberFormat="1" applyFont="1" applyFill="1" applyAlignment="1">
      <alignment horizontal="center"/>
    </xf>
    <xf numFmtId="1" fontId="14" fillId="0" borderId="0" xfId="0" applyNumberFormat="1" applyFont="1" applyAlignment="1">
      <alignment horizontal="center"/>
    </xf>
    <xf numFmtId="0" fontId="13" fillId="3" borderId="0" xfId="0" applyFont="1" applyFill="1"/>
    <xf numFmtId="8" fontId="42" fillId="3" borderId="0" xfId="0" applyNumberFormat="1" applyFont="1" applyFill="1" applyAlignment="1">
      <alignment horizontal="center"/>
    </xf>
    <xf numFmtId="0" fontId="5" fillId="0" borderId="0" xfId="0" applyFont="1" applyAlignment="1">
      <alignment horizontal="center"/>
    </xf>
    <xf numFmtId="0" fontId="6" fillId="0" borderId="0" xfId="0" applyFont="1" applyAlignment="1">
      <alignment horizontal="center"/>
    </xf>
    <xf numFmtId="0" fontId="1" fillId="0" borderId="0" xfId="0" applyFont="1" applyAlignment="1">
      <alignment horizontal="left" vertical="center" wrapText="1"/>
    </xf>
    <xf numFmtId="0" fontId="0" fillId="0" borderId="1" xfId="0" applyBorder="1" applyAlignment="1">
      <alignment horizontal="center"/>
    </xf>
    <xf numFmtId="0" fontId="3" fillId="0" borderId="0" xfId="0" applyFont="1" applyAlignment="1">
      <alignment horizontal="left" wrapText="1"/>
    </xf>
    <xf numFmtId="0" fontId="11" fillId="0" borderId="0" xfId="0" applyFont="1" applyAlignment="1">
      <alignment horizontal="center"/>
    </xf>
    <xf numFmtId="0" fontId="30" fillId="4" borderId="18" xfId="0" applyFont="1" applyFill="1" applyBorder="1" applyAlignment="1">
      <alignment horizontal="center" wrapText="1"/>
    </xf>
    <xf numFmtId="0" fontId="30" fillId="4" borderId="20" xfId="0" applyFont="1" applyFill="1" applyBorder="1" applyAlignment="1">
      <alignment horizontal="center" wrapText="1"/>
    </xf>
    <xf numFmtId="0" fontId="31" fillId="0" borderId="22" xfId="0" applyFont="1" applyBorder="1" applyAlignment="1">
      <alignment horizontal="center" vertical="center" wrapText="1"/>
    </xf>
    <xf numFmtId="0" fontId="31" fillId="0" borderId="23" xfId="0" applyFont="1" applyBorder="1" applyAlignment="1">
      <alignment horizontal="center" vertical="center" wrapText="1"/>
    </xf>
    <xf numFmtId="0" fontId="31" fillId="0" borderId="24" xfId="0" applyFont="1" applyBorder="1" applyAlignment="1">
      <alignment horizontal="center" vertical="center" wrapText="1"/>
    </xf>
    <xf numFmtId="0" fontId="13" fillId="9" borderId="22" xfId="0" applyFont="1" applyFill="1" applyBorder="1" applyAlignment="1">
      <alignment horizontal="center" vertical="center" wrapText="1"/>
    </xf>
    <xf numFmtId="0" fontId="13" fillId="9" borderId="24" xfId="0" applyFont="1" applyFill="1" applyBorder="1" applyAlignment="1">
      <alignment horizontal="center" vertical="center" wrapText="1"/>
    </xf>
    <xf numFmtId="0" fontId="32" fillId="10" borderId="22" xfId="0" applyFont="1" applyFill="1" applyBorder="1" applyAlignment="1">
      <alignment horizontal="center" vertical="center" wrapText="1"/>
    </xf>
    <xf numFmtId="0" fontId="32" fillId="10" borderId="24" xfId="0" applyFont="1" applyFill="1" applyBorder="1" applyAlignment="1">
      <alignment horizontal="center" vertical="center" wrapText="1"/>
    </xf>
    <xf numFmtId="0" fontId="29" fillId="0" borderId="0" xfId="0" applyFont="1" applyAlignment="1">
      <alignment horizontal="center"/>
    </xf>
    <xf numFmtId="0" fontId="2" fillId="0" borderId="18" xfId="0" applyFont="1" applyBorder="1" applyAlignment="1">
      <alignment horizontal="left"/>
    </xf>
    <xf numFmtId="0" fontId="2" fillId="0" borderId="19" xfId="0" applyFont="1" applyBorder="1" applyAlignment="1">
      <alignment horizontal="left"/>
    </xf>
    <xf numFmtId="0" fontId="2" fillId="0" borderId="20" xfId="0" applyFont="1" applyBorder="1" applyAlignment="1">
      <alignment horizontal="left"/>
    </xf>
    <xf numFmtId="0" fontId="11" fillId="7" borderId="0" xfId="0" applyFont="1" applyFill="1" applyAlignment="1">
      <alignment horizontal="center"/>
    </xf>
    <xf numFmtId="0" fontId="11" fillId="0" borderId="25"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9" xfId="0" applyFont="1" applyBorder="1" applyAlignment="1">
      <alignment horizontal="center"/>
    </xf>
    <xf numFmtId="0" fontId="28" fillId="6" borderId="11" xfId="0" applyFont="1" applyFill="1" applyBorder="1" applyAlignment="1">
      <alignment horizontal="center"/>
    </xf>
    <xf numFmtId="0" fontId="28" fillId="6" borderId="12" xfId="0" applyFont="1" applyFill="1" applyBorder="1" applyAlignment="1">
      <alignment horizontal="center"/>
    </xf>
    <xf numFmtId="0" fontId="29" fillId="0" borderId="17" xfId="0" applyFont="1" applyBorder="1" applyAlignment="1">
      <alignment horizontal="center"/>
    </xf>
    <xf numFmtId="0" fontId="4" fillId="0" borderId="0" xfId="0" applyFont="1" applyAlignment="1">
      <alignment horizontal="left" vertical="top" wrapText="1"/>
    </xf>
    <xf numFmtId="0" fontId="3" fillId="0" borderId="0" xfId="0" applyFont="1" applyAlignment="1">
      <alignment horizontal="left"/>
    </xf>
    <xf numFmtId="0" fontId="14" fillId="0" borderId="0" xfId="0" applyFont="1" applyAlignment="1">
      <alignment horizontal="left" vertical="center" wrapText="1"/>
    </xf>
    <xf numFmtId="0" fontId="26" fillId="0" borderId="0" xfId="0" applyFont="1"/>
  </cellXfs>
  <cellStyles count="3">
    <cellStyle name="Currency" xfId="1" builtinId="4"/>
    <cellStyle name="Hyperlink" xfId="2" builtinId="8"/>
    <cellStyle name="Normal" xfId="0" builtinId="0"/>
  </cellStyles>
  <dxfs count="51">
    <dxf>
      <font>
        <color rgb="FF000000"/>
      </font>
      <numFmt numFmtId="164" formatCode="&quot;$&quot;#,##0.00"/>
    </dxf>
    <dxf>
      <font>
        <color rgb="FF000000"/>
      </font>
      <numFmt numFmtId="164" formatCode="&quot;$&quot;#,##0.00"/>
      <alignment horizontal="center"/>
    </dxf>
    <dxf>
      <font>
        <color rgb="FF000000"/>
      </font>
      <numFmt numFmtId="164" formatCode="&quot;$&quot;#,##0.00"/>
      <alignment horizontal="center"/>
    </dxf>
    <dxf>
      <font>
        <color rgb="FF000000"/>
      </font>
      <numFmt numFmtId="164" formatCode="&quot;$&quot;#,##0.00"/>
      <alignment horizontal="center"/>
    </dxf>
    <dxf>
      <font>
        <color rgb="FF000000"/>
      </font>
    </dxf>
    <dxf>
      <font>
        <color rgb="FF000000"/>
      </font>
    </dxf>
    <dxf>
      <font>
        <color rgb="FF000000"/>
      </font>
    </dxf>
    <dxf>
      <font>
        <color rgb="FF000000"/>
      </font>
    </dxf>
    <dxf>
      <font>
        <b/>
        <i val="0"/>
        <strike val="0"/>
        <condense val="0"/>
        <extend val="0"/>
        <outline val="0"/>
        <shadow val="0"/>
        <u val="none"/>
        <vertAlign val="baseline"/>
        <sz val="11"/>
        <color theme="1"/>
        <name val="Calibri"/>
        <scheme val="minor"/>
      </font>
      <numFmt numFmtId="164" formatCode="&quot;$&quot;#,##0.00"/>
    </dxf>
    <dxf>
      <numFmt numFmtId="164" formatCode="&quot;$&quot;#,##0.00"/>
    </dxf>
    <dxf>
      <numFmt numFmtId="164" formatCode="&quot;$&quot;#,##0.00"/>
    </dxf>
    <dxf>
      <numFmt numFmtId="164" formatCode="&quot;$&quot;#,##0.00"/>
    </dxf>
    <dxf>
      <numFmt numFmtId="164" formatCode="&quot;$&quot;#,##0.00"/>
    </dxf>
    <dxf>
      <font>
        <strike val="0"/>
        <outline val="0"/>
        <shadow val="0"/>
        <u val="none"/>
        <vertAlign val="baseline"/>
        <sz val="11"/>
        <color auto="1"/>
        <name val="Calibri"/>
        <family val="2"/>
        <scheme val="minor"/>
      </font>
      <numFmt numFmtId="164" formatCode="&quot;$&quot;#,##0.00"/>
    </dxf>
    <dxf>
      <font>
        <b/>
        <i val="0"/>
        <strike val="0"/>
        <condense val="0"/>
        <extend val="0"/>
        <outline val="0"/>
        <shadow val="0"/>
        <u val="none"/>
        <vertAlign val="baseline"/>
        <sz val="11"/>
        <color theme="1"/>
        <name val="Calibri"/>
        <scheme val="minor"/>
      </font>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font>
        <b/>
        <i val="0"/>
        <strike val="0"/>
        <condense val="0"/>
        <extend val="0"/>
        <outline val="0"/>
        <shadow val="0"/>
        <u val="none"/>
        <vertAlign val="baseline"/>
        <sz val="11"/>
        <color theme="1"/>
        <name val="Calibri"/>
        <scheme val="minor"/>
      </font>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font>
        <b/>
        <i val="0"/>
        <strike val="0"/>
        <condense val="0"/>
        <extend val="0"/>
        <outline val="0"/>
        <shadow val="0"/>
        <u val="none"/>
        <vertAlign val="baseline"/>
        <sz val="11"/>
        <color theme="1"/>
        <name val="Calibri"/>
        <scheme val="minor"/>
      </font>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font>
        <b/>
        <i val="0"/>
        <strike val="0"/>
        <condense val="0"/>
        <extend val="0"/>
        <outline val="0"/>
        <shadow val="0"/>
        <u val="none"/>
        <vertAlign val="baseline"/>
        <sz val="11"/>
        <color theme="1"/>
        <name val="Calibri"/>
        <scheme val="minor"/>
      </font>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font>
        <b/>
        <i val="0"/>
        <strike val="0"/>
        <condense val="0"/>
        <extend val="0"/>
        <outline val="0"/>
        <shadow val="0"/>
        <u val="none"/>
        <vertAlign val="baseline"/>
        <sz val="11"/>
        <color theme="1"/>
        <name val="Calibri"/>
        <scheme val="minor"/>
      </font>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font>
        <b/>
        <i val="0"/>
        <strike val="0"/>
        <condense val="0"/>
        <extend val="0"/>
        <outline val="0"/>
        <shadow val="0"/>
        <u val="none"/>
        <vertAlign val="baseline"/>
        <sz val="11"/>
        <color theme="1"/>
        <name val="Calibri"/>
        <scheme val="minor"/>
      </font>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font>
        <b/>
        <i val="0"/>
        <strike val="0"/>
        <condense val="0"/>
        <extend val="0"/>
        <outline val="0"/>
        <shadow val="0"/>
        <u val="none"/>
        <vertAlign val="baseline"/>
        <sz val="11"/>
        <color theme="1"/>
        <name val="Calibri"/>
        <scheme val="minor"/>
      </font>
      <numFmt numFmtId="164" formatCode="&quot;$&quot;#,##0.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5" displayName="Table5" ref="A8:F18" totalsRowShown="0" headerRowDxfId="50">
  <tableColumns count="6">
    <tableColumn id="1" xr3:uid="{00000000-0010-0000-0400-000001000000}" name="Aggregate FTEs"/>
    <tableColumn id="2" xr3:uid="{00000000-0010-0000-0400-000002000000}" name="Initial Implementation Fee" dataDxfId="49"/>
    <tableColumn id="3" xr3:uid="{00000000-0010-0000-0400-000003000000}" name="Monthly Price / FTE" dataDxfId="48"/>
    <tableColumn id="4" xr3:uid="{00000000-0010-0000-0400-000004000000}" name="Annual Price / FTE" dataDxfId="47"/>
    <tableColumn id="5" xr3:uid="{00000000-0010-0000-0400-000005000000}" name="Monthly Maintenance Base Price" dataDxfId="46"/>
    <tableColumn id="6" xr3:uid="{00000000-0010-0000-0400-000006000000}" name="Annual Maintenance Base Price" dataDxfId="45"/>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6" displayName="Table6" ref="A26:F33" totalsRowShown="0" headerRowDxfId="44">
  <tableColumns count="6">
    <tableColumn id="1" xr3:uid="{00000000-0010-0000-0500-000001000000}" name="Aggregate FTEs"/>
    <tableColumn id="2" xr3:uid="{00000000-0010-0000-0500-000002000000}" name="Initial Implementation Fee" dataDxfId="43"/>
    <tableColumn id="3" xr3:uid="{00000000-0010-0000-0500-000003000000}" name="Monthly Price / FTE" dataDxfId="42"/>
    <tableColumn id="4" xr3:uid="{00000000-0010-0000-0500-000004000000}" name="Annual Price / FTE" dataDxfId="41"/>
    <tableColumn id="5" xr3:uid="{00000000-0010-0000-0500-000005000000}" name="Monthly Maintenance Base Price" dataDxfId="40"/>
    <tableColumn id="6" xr3:uid="{00000000-0010-0000-0500-000006000000}" name="Annual Maintenance Base Price" dataDxfId="39"/>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DEB26768-D3B8-4A9E-B811-9E1F7F1BB119}" name="Table518" displayName="Table518" ref="A45:F51" totalsRowShown="0" headerRowDxfId="38">
  <tableColumns count="6">
    <tableColumn id="1" xr3:uid="{CB54112D-082C-4056-BB67-1A4FCC710C0C}" name="Aggregate FTEs"/>
    <tableColumn id="2" xr3:uid="{080F4805-EB77-4E7A-B762-74476EB2107B}" name="Initial Implementation Fee" dataDxfId="37"/>
    <tableColumn id="3" xr3:uid="{A767D1E7-3C4B-4724-8DDC-D04108A149A7}" name="Monthly Price / FTE" dataDxfId="36"/>
    <tableColumn id="4" xr3:uid="{66F7CE40-E3E5-4D9C-A688-7FF0ED5D9B3D}" name="Annual Price / FTE" dataDxfId="35"/>
    <tableColumn id="5" xr3:uid="{E879E400-E63A-44F3-AE49-42547921129A}" name="Monthly Maintenance Base Price" dataDxfId="34"/>
    <tableColumn id="6" xr3:uid="{57A11C1C-2CC9-4BFB-9382-B7DDE1E0BFA2}" name="Annual Maintenance Base Price" dataDxfId="33"/>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e11" displayName="Table11" ref="A10:F17" totalsRowShown="0" headerRowDxfId="32">
  <tableColumns count="6">
    <tableColumn id="1" xr3:uid="{00000000-0010-0000-0A00-000001000000}" name="Aggregate FTEs"/>
    <tableColumn id="2" xr3:uid="{00000000-0010-0000-0A00-000002000000}" name="Initial Implementation Fee" dataDxfId="31"/>
    <tableColumn id="3" xr3:uid="{00000000-0010-0000-0A00-000003000000}" name="Monthly Price / FTE" dataDxfId="30"/>
    <tableColumn id="4" xr3:uid="{00000000-0010-0000-0A00-000004000000}" name="Annual Price / FTE" dataDxfId="29"/>
    <tableColumn id="5" xr3:uid="{00000000-0010-0000-0A00-000005000000}" name="Monthly Maintenance Base Price" dataDxfId="28"/>
    <tableColumn id="6" xr3:uid="{00000000-0010-0000-0A00-000006000000}" name="Annual Maintenance Base Price" dataDxfId="27"/>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AA33C327-77E8-1146-AE56-6776A238FEDB}" name="Table1114" displayName="Table1114" ref="A23:F30" totalsRowShown="0" headerRowDxfId="26">
  <tableColumns count="6">
    <tableColumn id="1" xr3:uid="{86BE6EBF-075F-9449-A70E-4887B5A6BB04}" name="Aggregate FTEs"/>
    <tableColumn id="2" xr3:uid="{A549D581-D164-D142-873C-0984DA0D99D2}" name="Initial Implementation Fee" dataDxfId="25"/>
    <tableColumn id="3" xr3:uid="{BA0A228F-80E3-0C42-812C-B12F50A52305}" name="Monthly Price / FTE" dataDxfId="24"/>
    <tableColumn id="4" xr3:uid="{32E43968-ACBE-C747-970D-993F55AC91AD}" name="Annual Price / FTE" dataDxfId="23"/>
    <tableColumn id="5" xr3:uid="{D3566FE6-D276-0D45-BB6B-3DCA975B0E0D}" name="Monthly Maintenance Base Price" dataDxfId="22"/>
    <tableColumn id="6" xr3:uid="{4E2A9B13-C7B2-E446-AAC0-12A1C4C4E1B9}" name="Annual Maintenance Base Price" dataDxfId="21"/>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F0D1341-F6F3-EF4E-B676-65C8440AAEBB}" name="Table111415" displayName="Table111415" ref="A45:F52" totalsRowShown="0" headerRowDxfId="20">
  <tableColumns count="6">
    <tableColumn id="1" xr3:uid="{0DEC816B-E484-3246-B8F0-88E140653CB5}" name="Aggregate FTEs"/>
    <tableColumn id="2" xr3:uid="{CF78F4A4-21BE-7447-AF8A-9D59B2E038DC}" name="Initial Implementation Fee" dataDxfId="19"/>
    <tableColumn id="3" xr3:uid="{0FFE6559-F945-8941-999C-4D617110FB3D}" name="Monthly Price / FTE" dataDxfId="18"/>
    <tableColumn id="4" xr3:uid="{C4941080-8BA6-9744-A579-FEBB6481ADF6}" name="Annual Price / FTE" dataDxfId="17"/>
    <tableColumn id="5" xr3:uid="{CAEB74D3-6FAF-D441-A3E8-286D7A90589F}" name="Monthly Maintenance Base Price" dataDxfId="16"/>
    <tableColumn id="6" xr3:uid="{E591B1F2-D17F-7447-9F5E-CE8CFF525F10}" name="Annual Maintenance Base Price" dataDxfId="15"/>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B5FD43FE-E60D-2B42-B6E5-2CEFFABCDAAB}" name="Table11141517" displayName="Table11141517" ref="A57:F68" totalsRowShown="0" headerRowDxfId="14">
  <tableColumns count="6">
    <tableColumn id="1" xr3:uid="{1796AAFE-0B3B-084C-8DF2-2BA88F765736}" name="Aggregate FTEs"/>
    <tableColumn id="2" xr3:uid="{864F270E-9E71-8342-8069-17C53DF87CEB}" name="Initial Implementation Fee" dataDxfId="13"/>
    <tableColumn id="3" xr3:uid="{C7A61FDF-91C2-F746-ACB4-7DBA733A6E03}" name="Monthly Price / FTE" dataDxfId="12"/>
    <tableColumn id="4" xr3:uid="{64863CE6-8223-F04E-9C44-50628343ADE9}" name="Annual Price / FTE" dataDxfId="11"/>
    <tableColumn id="5" xr3:uid="{782C989C-4A0A-EE48-9930-BF88FE88089C}" name="Monthly Maintenance Base Price" dataDxfId="10"/>
    <tableColumn id="6" xr3:uid="{C1F8A9A4-CB89-4849-B273-10C78DDD3719}" name="Annual Maintenance Base Price" dataDxfId="9"/>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F000000}" name="Table15" displayName="Table15" ref="A4:G25" totalsRowShown="0" headerRowDxfId="8" dataDxfId="7">
  <tableColumns count="7">
    <tableColumn id="1" xr3:uid="{00000000-0010-0000-0F00-000001000000}" name="Training Type" dataDxfId="6"/>
    <tableColumn id="2" xr3:uid="{00000000-0010-0000-0F00-000002000000}" name="Delivery Method" dataDxfId="5"/>
    <tableColumn id="3" xr3:uid="{00000000-0010-0000-0F00-000003000000}" name="Length" dataDxfId="4"/>
    <tableColumn id="4" xr3:uid="{00000000-0010-0000-0F00-000004000000}" name="Daily Price Per Trainer" dataDxfId="3"/>
    <tableColumn id="5" xr3:uid="{00000000-0010-0000-0F00-000005000000}" name="Hourly Price Per Trainer" dataDxfId="2"/>
    <tableColumn id="6" xr3:uid="{00000000-0010-0000-0F00-000006000000}" name="Daily Price Per Trainee" dataDxfId="1"/>
    <tableColumn id="7" xr3:uid="{19EA4A22-13C3-9742-83F2-A3C4CAF5A79D}" name="Notes" dataDxfId="0"/>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table" Target="../tables/table4.xml"/><Relationship Id="rId4" Type="http://schemas.openxmlformats.org/officeDocument/2006/relationships/table" Target="../tables/table7.xml"/></Relationships>
</file>

<file path=xl/worksheets/_rels/sheet5.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zoomScaleNormal="100" workbookViewId="0">
      <selection activeCell="A3" sqref="A3:J8"/>
    </sheetView>
  </sheetViews>
  <sheetFormatPr defaultColWidth="8.85546875" defaultRowHeight="15"/>
  <cols>
    <col min="13" max="13" width="29.42578125" customWidth="1"/>
  </cols>
  <sheetData>
    <row r="1" spans="1:13" ht="21">
      <c r="A1" s="144" t="s">
        <v>0</v>
      </c>
      <c r="B1" s="144"/>
      <c r="C1" s="144"/>
      <c r="D1" s="144"/>
      <c r="E1" s="144"/>
      <c r="F1" s="144"/>
      <c r="G1" s="144"/>
      <c r="H1" s="144"/>
      <c r="I1" s="144"/>
      <c r="J1" s="144"/>
      <c r="K1" s="8"/>
      <c r="L1" s="8"/>
      <c r="M1" s="8"/>
    </row>
    <row r="2" spans="1:13" ht="23.25">
      <c r="A2" s="145" t="s">
        <v>1</v>
      </c>
      <c r="B2" s="145"/>
      <c r="C2" s="145"/>
      <c r="D2" s="145"/>
      <c r="E2" s="145"/>
      <c r="F2" s="145"/>
      <c r="G2" s="145"/>
      <c r="H2" s="145"/>
      <c r="I2" s="145"/>
      <c r="J2" s="145"/>
    </row>
    <row r="3" spans="1:13" ht="30" customHeight="1">
      <c r="A3" s="146" t="s">
        <v>2</v>
      </c>
      <c r="B3" s="146"/>
      <c r="C3" s="146"/>
      <c r="D3" s="146"/>
      <c r="E3" s="146"/>
      <c r="F3" s="146"/>
      <c r="G3" s="146"/>
      <c r="H3" s="146"/>
      <c r="I3" s="146"/>
      <c r="J3" s="146"/>
    </row>
    <row r="4" spans="1:13" ht="30" customHeight="1">
      <c r="A4" s="146"/>
      <c r="B4" s="146"/>
      <c r="C4" s="146"/>
      <c r="D4" s="146"/>
      <c r="E4" s="146"/>
      <c r="F4" s="146"/>
      <c r="G4" s="146"/>
      <c r="H4" s="146"/>
      <c r="I4" s="146"/>
      <c r="J4" s="146"/>
    </row>
    <row r="5" spans="1:13" ht="30" customHeight="1">
      <c r="A5" s="146"/>
      <c r="B5" s="146"/>
      <c r="C5" s="146"/>
      <c r="D5" s="146"/>
      <c r="E5" s="146"/>
      <c r="F5" s="146"/>
      <c r="G5" s="146"/>
      <c r="H5" s="146"/>
      <c r="I5" s="146"/>
      <c r="J5" s="146"/>
    </row>
    <row r="6" spans="1:13" ht="30" customHeight="1">
      <c r="A6" s="146"/>
      <c r="B6" s="146"/>
      <c r="C6" s="146"/>
      <c r="D6" s="146"/>
      <c r="E6" s="146"/>
      <c r="F6" s="146"/>
      <c r="G6" s="146"/>
      <c r="H6" s="146"/>
      <c r="I6" s="146"/>
      <c r="J6" s="146"/>
    </row>
    <row r="7" spans="1:13" ht="30" customHeight="1">
      <c r="A7" s="146"/>
      <c r="B7" s="146"/>
      <c r="C7" s="146"/>
      <c r="D7" s="146"/>
      <c r="E7" s="146"/>
      <c r="F7" s="146"/>
      <c r="G7" s="146"/>
      <c r="H7" s="146"/>
      <c r="I7" s="146"/>
      <c r="J7" s="146"/>
    </row>
    <row r="8" spans="1:13" ht="30" customHeight="1">
      <c r="A8" s="146"/>
      <c r="B8" s="146"/>
      <c r="C8" s="146"/>
      <c r="D8" s="146"/>
      <c r="E8" s="146"/>
      <c r="F8" s="146"/>
      <c r="G8" s="146"/>
      <c r="H8" s="146"/>
      <c r="I8" s="146"/>
      <c r="J8" s="146"/>
    </row>
  </sheetData>
  <mergeCells count="3">
    <mergeCell ref="A1:J1"/>
    <mergeCell ref="A2:J2"/>
    <mergeCell ref="A3:J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52"/>
  <sheetViews>
    <sheetView tabSelected="1" workbookViewId="0">
      <selection activeCell="E20" sqref="E20"/>
    </sheetView>
  </sheetViews>
  <sheetFormatPr defaultColWidth="8.85546875" defaultRowHeight="15"/>
  <cols>
    <col min="1" max="1" width="18.42578125" customWidth="1"/>
    <col min="2" max="2" width="24.85546875" style="6" customWidth="1"/>
    <col min="3" max="3" width="19.28515625" style="6" customWidth="1"/>
    <col min="4" max="4" width="18.140625" style="6" customWidth="1"/>
    <col min="5" max="5" width="30.42578125" style="6" customWidth="1"/>
    <col min="6" max="6" width="29.28515625" style="6" customWidth="1"/>
    <col min="7" max="7" width="22.42578125" customWidth="1"/>
  </cols>
  <sheetData>
    <row r="1" spans="1:7">
      <c r="A1" s="1" t="s">
        <v>26</v>
      </c>
    </row>
    <row r="2" spans="1:7">
      <c r="A2" s="2" t="s">
        <v>3</v>
      </c>
    </row>
    <row r="4" spans="1:7">
      <c r="A4" s="1" t="s">
        <v>25</v>
      </c>
    </row>
    <row r="5" spans="1:7">
      <c r="A5" s="2" t="s">
        <v>20</v>
      </c>
      <c r="G5" s="50"/>
    </row>
    <row r="6" spans="1:7">
      <c r="A6" s="2"/>
      <c r="G6" s="50"/>
    </row>
    <row r="7" spans="1:7" ht="18.75">
      <c r="A7" s="13" t="s">
        <v>27</v>
      </c>
    </row>
    <row r="8" spans="1:7">
      <c r="A8" s="1" t="s">
        <v>4</v>
      </c>
      <c r="B8" s="5" t="s">
        <v>5</v>
      </c>
      <c r="C8" s="5" t="s">
        <v>6</v>
      </c>
      <c r="D8" s="5" t="s">
        <v>7</v>
      </c>
      <c r="E8" s="5" t="s">
        <v>8</v>
      </c>
      <c r="F8" s="5" t="s">
        <v>9</v>
      </c>
      <c r="G8" s="1"/>
    </row>
    <row r="9" spans="1:7">
      <c r="A9" t="s">
        <v>10</v>
      </c>
      <c r="B9" s="5"/>
      <c r="C9" s="7">
        <f>D9/12</f>
        <v>2.769085</v>
      </c>
      <c r="D9" s="7">
        <f>66458.04/2000</f>
        <v>33.229019999999998</v>
      </c>
      <c r="E9" s="7" t="s">
        <v>11</v>
      </c>
      <c r="F9" s="7" t="s">
        <v>11</v>
      </c>
      <c r="G9" s="1"/>
    </row>
    <row r="10" spans="1:7">
      <c r="A10" t="s">
        <v>12</v>
      </c>
      <c r="C10" s="7">
        <f t="shared" ref="C10:C14" si="0">D10/12</f>
        <v>1.8850477083333332</v>
      </c>
      <c r="D10" s="7">
        <f>90482.29/4000</f>
        <v>22.620572499999998</v>
      </c>
      <c r="E10" s="7" t="s">
        <v>11</v>
      </c>
      <c r="F10" s="7" t="s">
        <v>11</v>
      </c>
    </row>
    <row r="11" spans="1:7">
      <c r="A11" t="s">
        <v>13</v>
      </c>
      <c r="C11" s="7">
        <f t="shared" si="0"/>
        <v>1.258675</v>
      </c>
      <c r="D11" s="7">
        <f>120832.8/8000</f>
        <v>15.104100000000001</v>
      </c>
      <c r="E11" s="7" t="s">
        <v>11</v>
      </c>
      <c r="F11" s="7" t="s">
        <v>11</v>
      </c>
    </row>
    <row r="12" spans="1:7">
      <c r="A12" t="s">
        <v>14</v>
      </c>
      <c r="C12" s="7">
        <f t="shared" si="0"/>
        <v>0.92512544444444433</v>
      </c>
      <c r="D12" s="7">
        <f>166522.58/15000</f>
        <v>11.101505333333332</v>
      </c>
      <c r="E12" s="7" t="s">
        <v>11</v>
      </c>
      <c r="F12" s="7" t="s">
        <v>11</v>
      </c>
    </row>
    <row r="13" spans="1:7">
      <c r="A13" t="s">
        <v>15</v>
      </c>
      <c r="C13" s="7">
        <f t="shared" si="0"/>
        <v>0.82886596666666668</v>
      </c>
      <c r="D13" s="7">
        <f>248659.79/25000</f>
        <v>9.9463916000000001</v>
      </c>
      <c r="E13" s="7" t="s">
        <v>11</v>
      </c>
      <c r="F13" s="7" t="s">
        <v>11</v>
      </c>
    </row>
    <row r="14" spans="1:7">
      <c r="A14" t="s">
        <v>16</v>
      </c>
      <c r="C14" s="7">
        <f t="shared" si="0"/>
        <v>0.50313983333333334</v>
      </c>
      <c r="D14" s="7">
        <f>301883.9/50000</f>
        <v>6.0376780000000005</v>
      </c>
      <c r="E14" s="7" t="s">
        <v>11</v>
      </c>
      <c r="F14" s="7" t="s">
        <v>11</v>
      </c>
    </row>
    <row r="15" spans="1:7">
      <c r="A15" t="s">
        <v>17</v>
      </c>
      <c r="C15" s="7" t="s">
        <v>28</v>
      </c>
      <c r="D15" s="7" t="s">
        <v>18</v>
      </c>
      <c r="E15" s="7" t="s">
        <v>11</v>
      </c>
      <c r="F15" s="7" t="s">
        <v>11</v>
      </c>
    </row>
    <row r="16" spans="1:7">
      <c r="D16" s="11"/>
      <c r="E16" s="7"/>
      <c r="F16" s="7"/>
    </row>
    <row r="17" spans="1:13">
      <c r="A17" s="1" t="s">
        <v>19</v>
      </c>
    </row>
    <row r="18" spans="1:13">
      <c r="A18" s="2" t="s">
        <v>20</v>
      </c>
    </row>
    <row r="20" spans="1:13">
      <c r="A20" s="58" t="s">
        <v>21</v>
      </c>
      <c r="B20" s="58"/>
    </row>
    <row r="21" spans="1:13">
      <c r="A21" s="57" t="s">
        <v>22</v>
      </c>
      <c r="B21" s="57"/>
    </row>
    <row r="22" spans="1:13" ht="16.5" customHeight="1">
      <c r="A22" s="57" t="s">
        <v>23</v>
      </c>
      <c r="B22" s="57"/>
      <c r="G22" s="1"/>
    </row>
    <row r="23" spans="1:13">
      <c r="A23" s="57" t="s">
        <v>24</v>
      </c>
      <c r="B23" s="57"/>
    </row>
    <row r="24" spans="1:13">
      <c r="A24" s="57"/>
      <c r="B24" s="57"/>
    </row>
    <row r="25" spans="1:13" ht="14.25" customHeight="1">
      <c r="A25" s="14" t="s">
        <v>29</v>
      </c>
    </row>
    <row r="26" spans="1:13" ht="14.25" customHeight="1">
      <c r="A26" s="1" t="s">
        <v>4</v>
      </c>
      <c r="B26" s="5" t="s">
        <v>5</v>
      </c>
      <c r="C26" s="5" t="s">
        <v>6</v>
      </c>
      <c r="D26" s="5" t="s">
        <v>7</v>
      </c>
      <c r="E26" s="5" t="s">
        <v>8</v>
      </c>
      <c r="F26" s="5" t="s">
        <v>9</v>
      </c>
    </row>
    <row r="27" spans="1:13" ht="14.25" customHeight="1">
      <c r="A27" t="s">
        <v>10</v>
      </c>
      <c r="B27" s="5"/>
      <c r="C27" s="7">
        <f>D27/12</f>
        <v>3.8628787500000001</v>
      </c>
      <c r="D27" s="11">
        <f>92709.09/2000</f>
        <v>46.354545000000002</v>
      </c>
      <c r="E27" s="7" t="s">
        <v>11</v>
      </c>
      <c r="F27" s="7" t="s">
        <v>11</v>
      </c>
    </row>
    <row r="28" spans="1:13" ht="14.25" customHeight="1">
      <c r="A28" t="s">
        <v>12</v>
      </c>
      <c r="C28" s="7">
        <f t="shared" ref="C28:C32" si="1">D28/12</f>
        <v>2.6296331250000002</v>
      </c>
      <c r="D28" s="11">
        <f>126222.39/4000</f>
        <v>31.555597500000001</v>
      </c>
      <c r="E28" s="7" t="s">
        <v>11</v>
      </c>
      <c r="F28" s="7" t="s">
        <v>11</v>
      </c>
    </row>
    <row r="29" spans="1:13" ht="14.25" customHeight="1">
      <c r="A29" t="s">
        <v>13</v>
      </c>
      <c r="C29" s="7">
        <f t="shared" si="1"/>
        <v>1.7168349999999999</v>
      </c>
      <c r="D29" s="11">
        <f>164816.16/8000</f>
        <v>20.60202</v>
      </c>
      <c r="E29" s="7" t="s">
        <v>11</v>
      </c>
      <c r="F29" s="7" t="s">
        <v>11</v>
      </c>
    </row>
    <row r="30" spans="1:13" ht="14.25" customHeight="1">
      <c r="A30" t="s">
        <v>14</v>
      </c>
      <c r="C30" s="7">
        <f t="shared" si="1"/>
        <v>1.2211681111111112</v>
      </c>
      <c r="D30" s="11">
        <f>219810.26/15000</f>
        <v>14.654017333333334</v>
      </c>
      <c r="E30" s="7" t="s">
        <v>11</v>
      </c>
      <c r="F30" s="7" t="s">
        <v>11</v>
      </c>
    </row>
    <row r="31" spans="1:13">
      <c r="A31" t="s">
        <v>15</v>
      </c>
      <c r="C31" s="7">
        <f t="shared" si="1"/>
        <v>1.0041646666666668</v>
      </c>
      <c r="D31" s="11">
        <f>301249.4/25000</f>
        <v>12.049976000000001</v>
      </c>
      <c r="E31" s="7" t="s">
        <v>11</v>
      </c>
      <c r="F31" s="7" t="s">
        <v>11</v>
      </c>
      <c r="G31" s="4"/>
      <c r="H31" s="4"/>
      <c r="I31" s="4"/>
      <c r="J31" s="4"/>
      <c r="K31" s="4"/>
      <c r="L31" s="4"/>
      <c r="M31" s="4"/>
    </row>
    <row r="32" spans="1:13" ht="14.25" customHeight="1">
      <c r="A32" t="s">
        <v>16</v>
      </c>
      <c r="C32" s="7">
        <f t="shared" si="1"/>
        <v>0.62291666666666667</v>
      </c>
      <c r="D32" s="11">
        <f>373750/50000</f>
        <v>7.4749999999999996</v>
      </c>
      <c r="E32" s="7" t="s">
        <v>11</v>
      </c>
      <c r="F32" s="7" t="s">
        <v>11</v>
      </c>
      <c r="G32" s="3"/>
      <c r="H32" s="3"/>
      <c r="I32" s="3"/>
      <c r="J32" s="3"/>
      <c r="K32" s="3"/>
      <c r="L32" s="3"/>
      <c r="M32" s="3"/>
    </row>
    <row r="33" spans="1:13" ht="14.25" customHeight="1">
      <c r="A33" t="s">
        <v>17</v>
      </c>
      <c r="C33" s="7" t="s">
        <v>28</v>
      </c>
      <c r="D33" s="11" t="s">
        <v>18</v>
      </c>
      <c r="E33" s="7" t="s">
        <v>11</v>
      </c>
      <c r="F33" s="7" t="s">
        <v>11</v>
      </c>
    </row>
    <row r="34" spans="1:13" ht="14.25" customHeight="1">
      <c r="C34" s="7"/>
      <c r="D34" s="11"/>
      <c r="E34" s="7"/>
      <c r="F34" s="7"/>
    </row>
    <row r="35" spans="1:13" ht="14.25" customHeight="1">
      <c r="A35" s="58" t="s">
        <v>21</v>
      </c>
      <c r="B35" s="58"/>
    </row>
    <row r="36" spans="1:13" ht="14.25" customHeight="1">
      <c r="A36" s="57" t="s">
        <v>22</v>
      </c>
      <c r="B36" s="57"/>
    </row>
    <row r="37" spans="1:13" ht="14.25" customHeight="1">
      <c r="A37" s="57" t="s">
        <v>23</v>
      </c>
      <c r="B37" s="57"/>
    </row>
    <row r="38" spans="1:13" ht="14.25" customHeight="1">
      <c r="A38" s="57" t="s">
        <v>24</v>
      </c>
      <c r="B38" s="57"/>
      <c r="G38" s="4"/>
      <c r="H38" s="4"/>
      <c r="I38" s="4"/>
      <c r="J38" s="4"/>
      <c r="K38" s="4"/>
      <c r="L38" s="4"/>
      <c r="M38" s="4"/>
    </row>
    <row r="39" spans="1:13" ht="14.25" customHeight="1">
      <c r="G39" s="3"/>
      <c r="H39" s="3"/>
      <c r="I39" s="3"/>
      <c r="J39" s="3"/>
      <c r="K39" s="3"/>
      <c r="L39" s="3"/>
      <c r="M39" s="3"/>
    </row>
    <row r="40" spans="1:13" ht="14.25" customHeight="1"/>
    <row r="41" spans="1:13" ht="14.25" customHeight="1"/>
    <row r="42" spans="1:13" ht="14.25" customHeight="1">
      <c r="A42" s="15" t="s">
        <v>30</v>
      </c>
    </row>
    <row r="43" spans="1:13" ht="14.25" customHeight="1">
      <c r="A43" s="2" t="s">
        <v>20</v>
      </c>
    </row>
    <row r="44" spans="1:13" ht="14.25" customHeight="1"/>
    <row r="45" spans="1:13" ht="14.25" customHeight="1">
      <c r="A45" s="1" t="s">
        <v>4</v>
      </c>
      <c r="B45" s="5" t="s">
        <v>5</v>
      </c>
      <c r="C45" s="5" t="s">
        <v>6</v>
      </c>
      <c r="D45" s="5" t="s">
        <v>7</v>
      </c>
      <c r="E45" s="5" t="s">
        <v>8</v>
      </c>
      <c r="F45" s="5" t="s">
        <v>9</v>
      </c>
    </row>
    <row r="46" spans="1:13" ht="14.25" customHeight="1">
      <c r="A46" t="s">
        <v>10</v>
      </c>
      <c r="B46" s="54">
        <v>5000</v>
      </c>
      <c r="C46" s="54">
        <v>1.93</v>
      </c>
      <c r="D46" s="54">
        <v>23.2</v>
      </c>
      <c r="E46" s="54">
        <v>3866.67</v>
      </c>
      <c r="F46" s="54">
        <v>46400</v>
      </c>
    </row>
    <row r="47" spans="1:13">
      <c r="A47" t="s">
        <v>12</v>
      </c>
      <c r="B47" s="54">
        <v>5000</v>
      </c>
      <c r="C47" s="54">
        <v>1.69</v>
      </c>
      <c r="D47" s="54">
        <v>20.29</v>
      </c>
      <c r="E47" s="54">
        <v>6763.33</v>
      </c>
      <c r="F47" s="54">
        <v>81160</v>
      </c>
    </row>
    <row r="48" spans="1:13">
      <c r="A48" t="s">
        <v>13</v>
      </c>
      <c r="B48" s="54">
        <v>5000</v>
      </c>
      <c r="C48" s="54">
        <v>1.36</v>
      </c>
      <c r="D48" s="54">
        <v>16.34</v>
      </c>
      <c r="E48" s="54">
        <v>10893.33</v>
      </c>
      <c r="F48" s="54">
        <v>130720</v>
      </c>
    </row>
    <row r="49" spans="1:6">
      <c r="A49" t="s">
        <v>14</v>
      </c>
      <c r="B49" s="54">
        <v>5000</v>
      </c>
      <c r="C49" s="54">
        <v>1.28</v>
      </c>
      <c r="D49" s="54">
        <v>15.33</v>
      </c>
      <c r="E49" s="54">
        <v>19162.5</v>
      </c>
      <c r="F49" s="54">
        <v>229950</v>
      </c>
    </row>
    <row r="50" spans="1:6">
      <c r="A50" t="s">
        <v>15</v>
      </c>
      <c r="B50" s="54">
        <v>5000</v>
      </c>
      <c r="C50" s="54">
        <v>1.1100000000000001</v>
      </c>
      <c r="D50" s="54">
        <v>13.29</v>
      </c>
      <c r="E50" s="54">
        <v>27687.5</v>
      </c>
      <c r="F50" s="54">
        <v>332250</v>
      </c>
    </row>
    <row r="51" spans="1:6">
      <c r="A51" t="s">
        <v>16</v>
      </c>
      <c r="B51" s="55">
        <v>5000</v>
      </c>
      <c r="C51" s="55">
        <v>0.94</v>
      </c>
      <c r="D51" s="55">
        <v>11.31</v>
      </c>
      <c r="E51" s="55">
        <v>47125</v>
      </c>
      <c r="F51" s="55">
        <v>565500</v>
      </c>
    </row>
    <row r="52" spans="1:6">
      <c r="A52" s="56" t="s">
        <v>31</v>
      </c>
      <c r="B52" s="56"/>
      <c r="C52" s="56"/>
      <c r="D52" s="56"/>
      <c r="E52" s="56"/>
      <c r="F52" s="56"/>
    </row>
  </sheetData>
  <pageMargins left="0.7" right="0.7" top="0.75" bottom="0.75" header="0.3" footer="0.3"/>
  <pageSetup orientation="portrait" verticalDpi="0" r:id="rId1"/>
  <tableParts count="3">
    <tablePart r:id="rId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432"/>
  <sheetViews>
    <sheetView topLeftCell="A129" zoomScaleNormal="100" workbookViewId="0">
      <selection activeCell="D370" sqref="D370"/>
    </sheetView>
  </sheetViews>
  <sheetFormatPr defaultColWidth="8.85546875" defaultRowHeight="15"/>
  <cols>
    <col min="1" max="1" width="33.7109375" customWidth="1"/>
    <col min="2" max="2" width="24.85546875" style="6" customWidth="1"/>
    <col min="3" max="3" width="19.28515625" style="6" customWidth="1"/>
    <col min="4" max="4" width="18.140625" style="6" customWidth="1"/>
    <col min="5" max="5" width="30.42578125" style="6" customWidth="1"/>
    <col min="6" max="6" width="29.28515625" style="6" customWidth="1"/>
    <col min="7" max="7" width="14.42578125" bestFit="1" customWidth="1"/>
    <col min="8" max="8" width="8.42578125" bestFit="1" customWidth="1"/>
  </cols>
  <sheetData>
    <row r="1" spans="1:7">
      <c r="A1" s="1" t="s">
        <v>32</v>
      </c>
    </row>
    <row r="2" spans="1:7" ht="43.5" customHeight="1">
      <c r="A2" s="148" t="s">
        <v>33</v>
      </c>
      <c r="B2" s="148"/>
      <c r="C2" s="148"/>
      <c r="D2" s="148"/>
      <c r="E2" s="148"/>
      <c r="F2" s="148"/>
      <c r="G2" s="9"/>
    </row>
    <row r="3" spans="1:7">
      <c r="A3" s="2"/>
    </row>
    <row r="5" spans="1:7">
      <c r="A5" s="1" t="s">
        <v>25</v>
      </c>
    </row>
    <row r="6" spans="1:7">
      <c r="A6" s="2" t="s">
        <v>20</v>
      </c>
    </row>
    <row r="8" spans="1:7" ht="18.75">
      <c r="A8" s="16" t="s">
        <v>34</v>
      </c>
      <c r="B8" s="147"/>
      <c r="C8" s="147"/>
      <c r="D8" s="147"/>
      <c r="E8" s="147"/>
      <c r="F8" s="147"/>
    </row>
    <row r="9" spans="1:7" ht="18.75">
      <c r="A9" s="24" t="s">
        <v>35</v>
      </c>
    </row>
    <row r="10" spans="1:7">
      <c r="A10" s="1" t="s">
        <v>4</v>
      </c>
      <c r="B10" s="5" t="s">
        <v>5</v>
      </c>
      <c r="C10" s="5" t="s">
        <v>6</v>
      </c>
      <c r="D10" s="5" t="s">
        <v>7</v>
      </c>
      <c r="E10" s="5" t="s">
        <v>8</v>
      </c>
      <c r="F10" s="5" t="s">
        <v>9</v>
      </c>
      <c r="G10" s="1"/>
    </row>
    <row r="11" spans="1:7">
      <c r="A11" t="s">
        <v>10</v>
      </c>
      <c r="B11" s="7">
        <v>2000</v>
      </c>
      <c r="C11" s="7">
        <f>D11/12</f>
        <v>0.3116666666666667</v>
      </c>
      <c r="D11" s="11">
        <f>7480/2000</f>
        <v>3.74</v>
      </c>
      <c r="E11" s="7" t="s">
        <v>11</v>
      </c>
      <c r="F11" s="7" t="s">
        <v>11</v>
      </c>
      <c r="G11" s="1"/>
    </row>
    <row r="12" spans="1:7">
      <c r="A12" t="s">
        <v>12</v>
      </c>
      <c r="B12" s="7">
        <v>2000</v>
      </c>
      <c r="C12" s="7">
        <f t="shared" ref="C12:C16" si="0">D12/12</f>
        <v>0.23375000000000001</v>
      </c>
      <c r="D12" s="11">
        <f>11220/4000</f>
        <v>2.8050000000000002</v>
      </c>
      <c r="E12" s="7" t="s">
        <v>11</v>
      </c>
      <c r="F12" s="7" t="s">
        <v>11</v>
      </c>
    </row>
    <row r="13" spans="1:7">
      <c r="A13" t="s">
        <v>13</v>
      </c>
      <c r="B13" s="7">
        <v>2000</v>
      </c>
      <c r="C13" s="7">
        <f t="shared" si="0"/>
        <v>0.19479166666666667</v>
      </c>
      <c r="D13" s="11">
        <f>18700/8000</f>
        <v>2.3374999999999999</v>
      </c>
      <c r="E13" s="7" t="s">
        <v>11</v>
      </c>
      <c r="F13" s="7" t="s">
        <v>11</v>
      </c>
    </row>
    <row r="14" spans="1:7">
      <c r="A14" t="s">
        <v>14</v>
      </c>
      <c r="B14" s="7">
        <v>2000</v>
      </c>
      <c r="C14" s="7">
        <f t="shared" si="0"/>
        <v>0.16362499999999999</v>
      </c>
      <c r="D14" s="11">
        <f>29452.5/15000</f>
        <v>1.9635</v>
      </c>
      <c r="E14" s="7" t="s">
        <v>11</v>
      </c>
      <c r="F14" s="7" t="s">
        <v>11</v>
      </c>
    </row>
    <row r="15" spans="1:7">
      <c r="A15" t="s">
        <v>15</v>
      </c>
      <c r="B15" s="7">
        <v>2000</v>
      </c>
      <c r="C15" s="7">
        <f t="shared" si="0"/>
        <v>0.14025000000000001</v>
      </c>
      <c r="D15" s="11">
        <f>42075/25000</f>
        <v>1.6830000000000001</v>
      </c>
      <c r="E15" s="7" t="s">
        <v>11</v>
      </c>
      <c r="F15" s="7" t="s">
        <v>11</v>
      </c>
    </row>
    <row r="16" spans="1:7">
      <c r="A16" t="s">
        <v>16</v>
      </c>
      <c r="B16" s="7">
        <v>2000</v>
      </c>
      <c r="C16" s="7">
        <f t="shared" si="0"/>
        <v>0.10129166666666667</v>
      </c>
      <c r="D16" s="11">
        <f>60775/50000</f>
        <v>1.2155</v>
      </c>
      <c r="E16" s="7" t="s">
        <v>11</v>
      </c>
      <c r="F16" s="7" t="s">
        <v>11</v>
      </c>
    </row>
    <row r="17" spans="1:6">
      <c r="A17" t="s">
        <v>17</v>
      </c>
      <c r="B17" s="7">
        <v>2000</v>
      </c>
      <c r="C17" s="7" t="s">
        <v>28</v>
      </c>
      <c r="D17" s="11" t="s">
        <v>18</v>
      </c>
      <c r="E17" s="7" t="s">
        <v>11</v>
      </c>
      <c r="F17" s="7" t="s">
        <v>11</v>
      </c>
    </row>
    <row r="21" spans="1:6" ht="18.75">
      <c r="A21" s="16" t="s">
        <v>36</v>
      </c>
    </row>
    <row r="22" spans="1:6" ht="18.75">
      <c r="A22" s="24" t="s">
        <v>35</v>
      </c>
    </row>
    <row r="23" spans="1:6">
      <c r="A23" s="1" t="s">
        <v>4</v>
      </c>
      <c r="B23" s="5" t="s">
        <v>5</v>
      </c>
      <c r="C23" s="5" t="s">
        <v>6</v>
      </c>
      <c r="D23" s="5" t="s">
        <v>7</v>
      </c>
      <c r="E23" s="5" t="s">
        <v>8</v>
      </c>
      <c r="F23" s="5" t="s">
        <v>9</v>
      </c>
    </row>
    <row r="24" spans="1:6">
      <c r="A24" t="s">
        <v>10</v>
      </c>
      <c r="B24" s="7">
        <v>2000</v>
      </c>
      <c r="C24" s="7">
        <f>D24/12</f>
        <v>0.46750000000000003</v>
      </c>
      <c r="D24" s="11">
        <f>11220/2000</f>
        <v>5.61</v>
      </c>
      <c r="E24" s="7" t="s">
        <v>11</v>
      </c>
      <c r="F24" s="7" t="s">
        <v>11</v>
      </c>
    </row>
    <row r="25" spans="1:6">
      <c r="A25" t="s">
        <v>12</v>
      </c>
      <c r="B25" s="7">
        <v>2000</v>
      </c>
      <c r="C25" s="7">
        <f t="shared" ref="C25:C29" si="1">D25/12</f>
        <v>0.35062499999999996</v>
      </c>
      <c r="D25" s="11">
        <f>16830/4000</f>
        <v>4.2074999999999996</v>
      </c>
      <c r="E25" s="7" t="s">
        <v>11</v>
      </c>
      <c r="F25" s="7" t="s">
        <v>11</v>
      </c>
    </row>
    <row r="26" spans="1:6">
      <c r="A26" t="s">
        <v>13</v>
      </c>
      <c r="B26" s="7">
        <v>2000</v>
      </c>
      <c r="C26" s="7">
        <f t="shared" si="1"/>
        <v>0.29218749999999999</v>
      </c>
      <c r="D26" s="11">
        <f>28050/8000</f>
        <v>3.5062500000000001</v>
      </c>
      <c r="E26" s="7" t="s">
        <v>11</v>
      </c>
      <c r="F26" s="7" t="s">
        <v>11</v>
      </c>
    </row>
    <row r="27" spans="1:6">
      <c r="A27" t="s">
        <v>14</v>
      </c>
      <c r="B27" s="7">
        <v>2000</v>
      </c>
      <c r="C27" s="7">
        <f t="shared" si="1"/>
        <v>0.2454375</v>
      </c>
      <c r="D27" s="11">
        <f>44178.75/15000</f>
        <v>2.9452500000000001</v>
      </c>
      <c r="E27" s="7" t="s">
        <v>11</v>
      </c>
      <c r="F27" s="7" t="s">
        <v>11</v>
      </c>
    </row>
    <row r="28" spans="1:6">
      <c r="A28" t="s">
        <v>15</v>
      </c>
      <c r="B28" s="7">
        <v>2000</v>
      </c>
      <c r="C28" s="7">
        <f t="shared" si="1"/>
        <v>0.21037500000000001</v>
      </c>
      <c r="D28" s="11">
        <f>63112.5/25000</f>
        <v>2.5245000000000002</v>
      </c>
      <c r="E28" s="7" t="s">
        <v>11</v>
      </c>
      <c r="F28" s="7" t="s">
        <v>11</v>
      </c>
    </row>
    <row r="29" spans="1:6">
      <c r="A29" t="s">
        <v>16</v>
      </c>
      <c r="B29" s="7">
        <v>2000</v>
      </c>
      <c r="C29" s="7">
        <f t="shared" si="1"/>
        <v>0.16362499999999999</v>
      </c>
      <c r="D29" s="11">
        <f>98175/50000</f>
        <v>1.9635</v>
      </c>
      <c r="E29" s="7" t="s">
        <v>11</v>
      </c>
      <c r="F29" s="7" t="s">
        <v>11</v>
      </c>
    </row>
    <row r="30" spans="1:6">
      <c r="A30" t="s">
        <v>17</v>
      </c>
      <c r="B30" s="7">
        <v>2000</v>
      </c>
      <c r="C30" s="7" t="s">
        <v>28</v>
      </c>
      <c r="D30" s="11" t="s">
        <v>18</v>
      </c>
      <c r="E30" s="7" t="s">
        <v>11</v>
      </c>
      <c r="F30" s="7" t="s">
        <v>11</v>
      </c>
    </row>
    <row r="33" spans="1:6" ht="18.75">
      <c r="A33" s="18" t="s">
        <v>37</v>
      </c>
    </row>
    <row r="34" spans="1:6">
      <c r="A34" s="19" t="s">
        <v>37</v>
      </c>
      <c r="B34" s="20" t="s">
        <v>38</v>
      </c>
      <c r="C34"/>
      <c r="D34"/>
      <c r="E34"/>
      <c r="F34"/>
    </row>
    <row r="35" spans="1:6">
      <c r="A35" s="21" t="s">
        <v>39</v>
      </c>
      <c r="B35" s="22">
        <v>1944</v>
      </c>
      <c r="C35"/>
      <c r="D35"/>
      <c r="E35"/>
      <c r="F35"/>
    </row>
    <row r="36" spans="1:6">
      <c r="A36" s="21" t="s">
        <v>40</v>
      </c>
      <c r="B36" s="22">
        <v>5832</v>
      </c>
      <c r="C36"/>
      <c r="D36"/>
      <c r="E36"/>
      <c r="F36"/>
    </row>
    <row r="37" spans="1:6" ht="30">
      <c r="A37" s="21" t="s">
        <v>41</v>
      </c>
      <c r="B37" s="22">
        <v>17496</v>
      </c>
      <c r="C37"/>
      <c r="D37"/>
      <c r="E37"/>
      <c r="F37"/>
    </row>
    <row r="38" spans="1:6" ht="30">
      <c r="A38" s="21" t="s">
        <v>42</v>
      </c>
      <c r="B38" s="22">
        <v>1360.8</v>
      </c>
      <c r="C38"/>
      <c r="D38"/>
      <c r="E38"/>
      <c r="F38"/>
    </row>
    <row r="39" spans="1:6" ht="45">
      <c r="A39" s="23" t="s">
        <v>43</v>
      </c>
      <c r="B39" s="22">
        <v>388.8</v>
      </c>
      <c r="C39"/>
      <c r="D39"/>
      <c r="E39"/>
      <c r="F39"/>
    </row>
    <row r="40" spans="1:6" ht="30">
      <c r="A40" s="21" t="s">
        <v>44</v>
      </c>
      <c r="B40" s="22">
        <v>19440</v>
      </c>
      <c r="C40"/>
      <c r="D40"/>
      <c r="E40"/>
      <c r="F40"/>
    </row>
    <row r="43" spans="1:6" ht="18.75">
      <c r="A43" s="24" t="s">
        <v>45</v>
      </c>
    </row>
    <row r="44" spans="1:6" ht="18.75">
      <c r="A44" s="24" t="s">
        <v>35</v>
      </c>
    </row>
    <row r="45" spans="1:6">
      <c r="A45" s="1" t="s">
        <v>4</v>
      </c>
      <c r="B45" s="5" t="s">
        <v>5</v>
      </c>
      <c r="C45" s="5" t="s">
        <v>6</v>
      </c>
      <c r="D45" s="5" t="s">
        <v>7</v>
      </c>
      <c r="E45" s="5" t="s">
        <v>8</v>
      </c>
      <c r="F45" s="5" t="s">
        <v>9</v>
      </c>
    </row>
    <row r="46" spans="1:6">
      <c r="A46" t="s">
        <v>10</v>
      </c>
      <c r="B46" s="7">
        <v>2000</v>
      </c>
      <c r="C46" s="7">
        <f>D46/12</f>
        <v>0.19479166666666667</v>
      </c>
      <c r="D46" s="11">
        <f>4675/2000</f>
        <v>2.3374999999999999</v>
      </c>
      <c r="E46" s="7" t="s">
        <v>11</v>
      </c>
      <c r="F46" s="7" t="s">
        <v>11</v>
      </c>
    </row>
    <row r="47" spans="1:6">
      <c r="A47" t="s">
        <v>12</v>
      </c>
      <c r="B47" s="7">
        <v>2000</v>
      </c>
      <c r="C47" s="7">
        <f t="shared" ref="C47:C51" si="2">D47/12</f>
        <v>0.14025000000000001</v>
      </c>
      <c r="D47" s="11">
        <f>6732/4000</f>
        <v>1.6830000000000001</v>
      </c>
      <c r="E47" s="7" t="s">
        <v>11</v>
      </c>
      <c r="F47" s="7" t="s">
        <v>11</v>
      </c>
    </row>
    <row r="48" spans="1:6">
      <c r="A48" t="s">
        <v>13</v>
      </c>
      <c r="B48" s="7">
        <v>2000</v>
      </c>
      <c r="C48" s="7">
        <f t="shared" si="2"/>
        <v>0.11687500000000001</v>
      </c>
      <c r="D48" s="11">
        <f>11220/8000</f>
        <v>1.4025000000000001</v>
      </c>
      <c r="E48" s="7" t="s">
        <v>11</v>
      </c>
      <c r="F48" s="7" t="s">
        <v>11</v>
      </c>
    </row>
    <row r="49" spans="1:6">
      <c r="A49" t="s">
        <v>14</v>
      </c>
      <c r="B49" s="7">
        <v>2000</v>
      </c>
      <c r="C49" s="7">
        <f t="shared" si="2"/>
        <v>9.7395833333333334E-2</v>
      </c>
      <c r="D49" s="11">
        <f>17531.25/15000</f>
        <v>1.16875</v>
      </c>
      <c r="E49" s="7" t="s">
        <v>11</v>
      </c>
      <c r="F49" s="7" t="s">
        <v>11</v>
      </c>
    </row>
    <row r="50" spans="1:6">
      <c r="A50" t="s">
        <v>15</v>
      </c>
      <c r="B50" s="7">
        <v>2000</v>
      </c>
      <c r="C50" s="7">
        <f t="shared" si="2"/>
        <v>8.5708333333333331E-2</v>
      </c>
      <c r="D50" s="11">
        <f>25712.5/25000</f>
        <v>1.0285</v>
      </c>
      <c r="E50" s="7" t="s">
        <v>11</v>
      </c>
      <c r="F50" s="7" t="s">
        <v>11</v>
      </c>
    </row>
    <row r="51" spans="1:6">
      <c r="A51" t="s">
        <v>16</v>
      </c>
      <c r="B51" s="7">
        <v>2000</v>
      </c>
      <c r="C51" s="7">
        <f t="shared" si="2"/>
        <v>7.0125000000000007E-2</v>
      </c>
      <c r="D51" s="11">
        <f>42075/50000</f>
        <v>0.84150000000000003</v>
      </c>
      <c r="E51" s="7" t="s">
        <v>11</v>
      </c>
      <c r="F51" s="7" t="s">
        <v>11</v>
      </c>
    </row>
    <row r="52" spans="1:6">
      <c r="A52" t="s">
        <v>17</v>
      </c>
      <c r="B52" s="7">
        <v>2000</v>
      </c>
      <c r="C52" s="7" t="s">
        <v>28</v>
      </c>
      <c r="D52" s="11" t="s">
        <v>18</v>
      </c>
      <c r="E52" s="7" t="s">
        <v>11</v>
      </c>
      <c r="F52" s="7" t="s">
        <v>11</v>
      </c>
    </row>
    <row r="55" spans="1:6" ht="18.75">
      <c r="A55" s="107" t="s">
        <v>46</v>
      </c>
    </row>
    <row r="56" spans="1:6" ht="18.75">
      <c r="A56" s="24" t="s">
        <v>35</v>
      </c>
    </row>
    <row r="57" spans="1:6">
      <c r="A57" s="1" t="s">
        <v>4</v>
      </c>
      <c r="B57" s="5" t="s">
        <v>5</v>
      </c>
      <c r="C57" s="5" t="s">
        <v>6</v>
      </c>
      <c r="D57" s="5" t="s">
        <v>7</v>
      </c>
      <c r="E57" s="5" t="s">
        <v>8</v>
      </c>
      <c r="F57" s="5" t="s">
        <v>9</v>
      </c>
    </row>
    <row r="58" spans="1:6">
      <c r="A58" t="s">
        <v>47</v>
      </c>
      <c r="B58" s="108">
        <v>6000</v>
      </c>
      <c r="C58" s="7">
        <f>D58/12</f>
        <v>2.1884999999999999</v>
      </c>
      <c r="D58" s="11">
        <f>13131/500</f>
        <v>26.262</v>
      </c>
      <c r="E58" s="7" t="s">
        <v>11</v>
      </c>
      <c r="F58" s="7" t="s">
        <v>11</v>
      </c>
    </row>
    <row r="59" spans="1:6">
      <c r="A59" t="s">
        <v>48</v>
      </c>
      <c r="B59" s="108">
        <v>6000</v>
      </c>
      <c r="C59" s="7">
        <f t="shared" ref="C59:C67" si="3">D59/12</f>
        <v>1.0942499999999999</v>
      </c>
      <c r="D59" s="11">
        <f>13131/1000</f>
        <v>13.131</v>
      </c>
      <c r="E59" s="7" t="s">
        <v>11</v>
      </c>
      <c r="F59" s="7" t="s">
        <v>11</v>
      </c>
    </row>
    <row r="60" spans="1:6">
      <c r="A60" t="s">
        <v>49</v>
      </c>
      <c r="B60" s="108">
        <v>6000</v>
      </c>
      <c r="C60" s="7">
        <f t="shared" si="3"/>
        <v>0.54712499999999997</v>
      </c>
      <c r="D60" s="11">
        <f>13131/2000</f>
        <v>6.5655000000000001</v>
      </c>
      <c r="E60" s="7" t="s">
        <v>11</v>
      </c>
      <c r="F60" s="7" t="s">
        <v>11</v>
      </c>
    </row>
    <row r="61" spans="1:6">
      <c r="A61" t="s">
        <v>50</v>
      </c>
      <c r="B61" s="108">
        <v>6000</v>
      </c>
      <c r="C61" s="7">
        <f t="shared" si="3"/>
        <v>0.35016666666666668</v>
      </c>
      <c r="D61" s="11">
        <f>21010/5000</f>
        <v>4.202</v>
      </c>
      <c r="E61" s="7" t="s">
        <v>11</v>
      </c>
      <c r="F61" s="7" t="s">
        <v>11</v>
      </c>
    </row>
    <row r="62" spans="1:6">
      <c r="A62" t="s">
        <v>51</v>
      </c>
      <c r="B62" s="108">
        <v>6000</v>
      </c>
      <c r="C62" s="7">
        <f t="shared" si="3"/>
        <v>0.21884999999999999</v>
      </c>
      <c r="D62" s="11">
        <f>26262/10000</f>
        <v>2.6261999999999999</v>
      </c>
      <c r="E62" s="7" t="s">
        <v>11</v>
      </c>
      <c r="F62" s="7" t="s">
        <v>11</v>
      </c>
    </row>
    <row r="63" spans="1:6">
      <c r="A63" t="s">
        <v>52</v>
      </c>
      <c r="B63" s="108">
        <v>6000</v>
      </c>
      <c r="C63" s="7">
        <f t="shared" si="3"/>
        <v>0.17508333333333334</v>
      </c>
      <c r="D63" s="11">
        <f>31515/15000</f>
        <v>2.101</v>
      </c>
      <c r="E63" s="7" t="s">
        <v>11</v>
      </c>
      <c r="F63" s="7" t="s">
        <v>11</v>
      </c>
    </row>
    <row r="64" spans="1:6">
      <c r="A64" t="s">
        <v>53</v>
      </c>
      <c r="B64" s="108">
        <v>6000</v>
      </c>
      <c r="C64" s="7">
        <f t="shared" si="3"/>
        <v>0.16414166666666666</v>
      </c>
      <c r="D64" s="11">
        <f>39394/20000</f>
        <v>1.9697</v>
      </c>
      <c r="E64" s="7" t="s">
        <v>11</v>
      </c>
      <c r="F64" s="7" t="s">
        <v>11</v>
      </c>
    </row>
    <row r="65" spans="1:6">
      <c r="A65" t="s">
        <v>54</v>
      </c>
      <c r="B65" s="108">
        <v>6000</v>
      </c>
      <c r="C65" s="7">
        <f>D65/12</f>
        <v>0.15757333333333332</v>
      </c>
      <c r="D65" s="11">
        <f>47272/25000</f>
        <v>1.8908799999999999</v>
      </c>
      <c r="E65" s="7" t="s">
        <v>11</v>
      </c>
      <c r="F65" s="7" t="s">
        <v>11</v>
      </c>
    </row>
    <row r="66" spans="1:6">
      <c r="A66" t="s">
        <v>55</v>
      </c>
      <c r="B66" s="108">
        <v>6000</v>
      </c>
      <c r="C66" s="7">
        <f t="shared" si="3"/>
        <v>8.754166666666667E-2</v>
      </c>
      <c r="D66" s="25">
        <f>52525/50000</f>
        <v>1.0505</v>
      </c>
      <c r="E66" s="7" t="s">
        <v>11</v>
      </c>
      <c r="F66" s="7" t="s">
        <v>11</v>
      </c>
    </row>
    <row r="67" spans="1:6">
      <c r="A67" t="s">
        <v>56</v>
      </c>
      <c r="B67" s="108">
        <v>6000</v>
      </c>
      <c r="C67" s="7">
        <f t="shared" si="3"/>
        <v>0.10942666666666667</v>
      </c>
      <c r="D67" s="25">
        <f>65656/50000</f>
        <v>1.3131200000000001</v>
      </c>
      <c r="E67" s="7" t="s">
        <v>11</v>
      </c>
      <c r="F67" s="7" t="s">
        <v>11</v>
      </c>
    </row>
    <row r="68" spans="1:6">
      <c r="A68" s="53"/>
      <c r="B68" s="109"/>
    </row>
    <row r="70" spans="1:6" ht="18.75">
      <c r="A70" s="17" t="s">
        <v>57</v>
      </c>
    </row>
    <row r="71" spans="1:6" ht="18.75">
      <c r="A71" s="24" t="s">
        <v>35</v>
      </c>
    </row>
    <row r="72" spans="1:6">
      <c r="A72" s="19" t="s">
        <v>57</v>
      </c>
      <c r="B72" s="20" t="s">
        <v>38</v>
      </c>
      <c r="C72"/>
      <c r="D72"/>
      <c r="E72"/>
      <c r="F72"/>
    </row>
    <row r="73" spans="1:6">
      <c r="A73" s="23" t="s">
        <v>58</v>
      </c>
      <c r="B73" s="28">
        <v>9900</v>
      </c>
      <c r="C73"/>
      <c r="D73"/>
      <c r="E73"/>
      <c r="F73"/>
    </row>
    <row r="74" spans="1:6">
      <c r="A74" s="23" t="s">
        <v>59</v>
      </c>
      <c r="B74" s="28">
        <v>19800</v>
      </c>
      <c r="C74"/>
      <c r="D74"/>
      <c r="E74"/>
      <c r="F74"/>
    </row>
    <row r="75" spans="1:6">
      <c r="A75" s="23" t="s">
        <v>60</v>
      </c>
      <c r="B75" s="28">
        <v>14850</v>
      </c>
      <c r="C75"/>
      <c r="D75"/>
      <c r="E75"/>
      <c r="F75"/>
    </row>
    <row r="77" spans="1:6">
      <c r="A77" s="51"/>
    </row>
    <row r="78" spans="1:6" ht="18">
      <c r="A78" s="14" t="s">
        <v>61</v>
      </c>
    </row>
    <row r="79" spans="1:6" ht="18.75">
      <c r="A79" s="24" t="s">
        <v>35</v>
      </c>
    </row>
    <row r="80" spans="1:6">
      <c r="A80" s="26" t="s">
        <v>4</v>
      </c>
      <c r="B80" s="27" t="s">
        <v>5</v>
      </c>
      <c r="C80" s="27" t="s">
        <v>6</v>
      </c>
      <c r="D80" s="27" t="s">
        <v>7</v>
      </c>
      <c r="E80" s="27" t="s">
        <v>8</v>
      </c>
      <c r="F80" s="27" t="s">
        <v>9</v>
      </c>
    </row>
    <row r="81" spans="1:6">
      <c r="A81" s="10" t="s">
        <v>10</v>
      </c>
      <c r="B81" s="32" t="s">
        <v>18</v>
      </c>
      <c r="C81" s="29">
        <f>D81/12</f>
        <v>0.52083333333333337</v>
      </c>
      <c r="D81" s="31">
        <f>12500/2000</f>
        <v>6.25</v>
      </c>
      <c r="E81" s="29" t="s">
        <v>11</v>
      </c>
      <c r="F81" s="29" t="s">
        <v>11</v>
      </c>
    </row>
    <row r="82" spans="1:6">
      <c r="A82" t="s">
        <v>12</v>
      </c>
      <c r="B82" s="111" t="s">
        <v>18</v>
      </c>
      <c r="C82" s="29">
        <f t="shared" ref="C82:C86" si="4">D82/12</f>
        <v>0.27916666666666667</v>
      </c>
      <c r="D82" s="11">
        <f>13400/4000</f>
        <v>3.35</v>
      </c>
      <c r="E82" s="7" t="s">
        <v>11</v>
      </c>
      <c r="F82" s="7" t="s">
        <v>11</v>
      </c>
    </row>
    <row r="83" spans="1:6">
      <c r="A83" s="10" t="s">
        <v>13</v>
      </c>
      <c r="B83" s="32" t="s">
        <v>18</v>
      </c>
      <c r="C83" s="29">
        <f t="shared" si="4"/>
        <v>0.15052083333333333</v>
      </c>
      <c r="D83" s="31">
        <f>14450/8000</f>
        <v>1.8062499999999999</v>
      </c>
      <c r="E83" s="29" t="s">
        <v>11</v>
      </c>
      <c r="F83" s="29" t="s">
        <v>11</v>
      </c>
    </row>
    <row r="84" spans="1:6">
      <c r="A84" t="s">
        <v>14</v>
      </c>
      <c r="B84" s="111" t="s">
        <v>18</v>
      </c>
      <c r="C84" s="29">
        <f t="shared" si="4"/>
        <v>8.7777777777777774E-2</v>
      </c>
      <c r="D84" s="11">
        <f>15800/15000</f>
        <v>1.0533333333333332</v>
      </c>
      <c r="E84" s="7" t="s">
        <v>11</v>
      </c>
      <c r="F84" s="7" t="s">
        <v>11</v>
      </c>
    </row>
    <row r="85" spans="1:6">
      <c r="A85" s="10" t="s">
        <v>15</v>
      </c>
      <c r="B85" s="32" t="s">
        <v>18</v>
      </c>
      <c r="C85" s="29">
        <f t="shared" si="4"/>
        <v>6.1666666666666668E-2</v>
      </c>
      <c r="D85" s="31">
        <f>18500/25000</f>
        <v>0.74</v>
      </c>
      <c r="E85" s="29" t="s">
        <v>11</v>
      </c>
      <c r="F85" s="29" t="s">
        <v>11</v>
      </c>
    </row>
    <row r="86" spans="1:6">
      <c r="A86" t="s">
        <v>16</v>
      </c>
      <c r="B86" s="111" t="s">
        <v>18</v>
      </c>
      <c r="C86" s="29">
        <f t="shared" si="4"/>
        <v>3.5416666666666666E-2</v>
      </c>
      <c r="D86" s="11">
        <f>21250/50000</f>
        <v>0.42499999999999999</v>
      </c>
      <c r="E86" s="7" t="s">
        <v>11</v>
      </c>
      <c r="F86" s="7" t="s">
        <v>11</v>
      </c>
    </row>
    <row r="87" spans="1:6">
      <c r="A87" s="12" t="s">
        <v>17</v>
      </c>
      <c r="B87" s="32" t="s">
        <v>18</v>
      </c>
      <c r="C87" s="30" t="s">
        <v>28</v>
      </c>
      <c r="D87" s="32" t="s">
        <v>18</v>
      </c>
      <c r="E87" s="30" t="s">
        <v>11</v>
      </c>
      <c r="F87" s="30" t="s">
        <v>11</v>
      </c>
    </row>
    <row r="88" spans="1:6">
      <c r="A88" t="s">
        <v>62</v>
      </c>
    </row>
    <row r="89" spans="1:6">
      <c r="A89" s="51"/>
    </row>
    <row r="90" spans="1:6" ht="18">
      <c r="A90" s="14" t="s">
        <v>63</v>
      </c>
    </row>
    <row r="91" spans="1:6" ht="18.75">
      <c r="A91" s="24" t="s">
        <v>35</v>
      </c>
    </row>
    <row r="92" spans="1:6">
      <c r="A92" s="26" t="s">
        <v>4</v>
      </c>
      <c r="B92" s="27" t="s">
        <v>5</v>
      </c>
      <c r="C92" s="27" t="s">
        <v>6</v>
      </c>
      <c r="D92" s="27" t="s">
        <v>7</v>
      </c>
      <c r="E92" s="27" t="s">
        <v>8</v>
      </c>
      <c r="F92" s="27" t="s">
        <v>9</v>
      </c>
    </row>
    <row r="93" spans="1:6">
      <c r="A93" s="10" t="s">
        <v>10</v>
      </c>
      <c r="B93" s="32" t="s">
        <v>18</v>
      </c>
      <c r="C93" s="29">
        <f>D93/12</f>
        <v>0.14583333333333334</v>
      </c>
      <c r="D93" s="31">
        <f>3500/2000</f>
        <v>1.75</v>
      </c>
      <c r="E93" s="29" t="s">
        <v>11</v>
      </c>
      <c r="F93" s="29" t="s">
        <v>11</v>
      </c>
    </row>
    <row r="94" spans="1:6">
      <c r="A94" t="s">
        <v>12</v>
      </c>
      <c r="B94" s="111" t="s">
        <v>18</v>
      </c>
      <c r="C94" s="29">
        <f t="shared" ref="C94:C98" si="5">D94/12</f>
        <v>0.14583333333333334</v>
      </c>
      <c r="D94" s="11">
        <f>7000/4000</f>
        <v>1.75</v>
      </c>
      <c r="E94" s="7" t="s">
        <v>11</v>
      </c>
      <c r="F94" s="7" t="s">
        <v>11</v>
      </c>
    </row>
    <row r="95" spans="1:6">
      <c r="A95" s="10" t="s">
        <v>13</v>
      </c>
      <c r="B95" s="32" t="s">
        <v>18</v>
      </c>
      <c r="C95" s="29">
        <f t="shared" si="5"/>
        <v>0.109375</v>
      </c>
      <c r="D95" s="31">
        <f>10500/8000</f>
        <v>1.3125</v>
      </c>
      <c r="E95" s="29" t="s">
        <v>11</v>
      </c>
      <c r="F95" s="29" t="s">
        <v>11</v>
      </c>
    </row>
    <row r="96" spans="1:6">
      <c r="A96" t="s">
        <v>14</v>
      </c>
      <c r="B96" s="111" t="s">
        <v>18</v>
      </c>
      <c r="C96" s="29">
        <f t="shared" si="5"/>
        <v>7.7777777777777779E-2</v>
      </c>
      <c r="D96" s="11">
        <f>14000/15000</f>
        <v>0.93333333333333335</v>
      </c>
      <c r="E96" s="7" t="s">
        <v>11</v>
      </c>
      <c r="F96" s="7" t="s">
        <v>11</v>
      </c>
    </row>
    <row r="97" spans="1:6">
      <c r="A97" s="10" t="s">
        <v>15</v>
      </c>
      <c r="B97" s="32" t="s">
        <v>18</v>
      </c>
      <c r="C97" s="29">
        <f t="shared" si="5"/>
        <v>5.6666666666666671E-2</v>
      </c>
      <c r="D97" s="31">
        <f>17000/25000</f>
        <v>0.68</v>
      </c>
      <c r="E97" s="29" t="s">
        <v>11</v>
      </c>
      <c r="F97" s="29" t="s">
        <v>11</v>
      </c>
    </row>
    <row r="98" spans="1:6">
      <c r="A98" t="s">
        <v>16</v>
      </c>
      <c r="B98" s="111" t="s">
        <v>18</v>
      </c>
      <c r="C98" s="29">
        <f t="shared" si="5"/>
        <v>3.3333333333333333E-2</v>
      </c>
      <c r="D98" s="11">
        <f>20000/50000</f>
        <v>0.4</v>
      </c>
      <c r="E98" s="7" t="s">
        <v>11</v>
      </c>
      <c r="F98" s="7" t="s">
        <v>11</v>
      </c>
    </row>
    <row r="99" spans="1:6">
      <c r="A99" s="12" t="s">
        <v>17</v>
      </c>
      <c r="B99" s="32" t="s">
        <v>18</v>
      </c>
      <c r="C99" s="30" t="s">
        <v>28</v>
      </c>
      <c r="D99" s="32" t="s">
        <v>18</v>
      </c>
      <c r="E99" s="30" t="s">
        <v>11</v>
      </c>
      <c r="F99" s="30" t="s">
        <v>11</v>
      </c>
    </row>
    <row r="100" spans="1:6">
      <c r="A100" t="s">
        <v>62</v>
      </c>
    </row>
    <row r="102" spans="1:6" ht="18.75">
      <c r="A102" s="15" t="s">
        <v>64</v>
      </c>
    </row>
    <row r="103" spans="1:6">
      <c r="A103" s="26" t="s">
        <v>4</v>
      </c>
      <c r="B103" s="27" t="s">
        <v>5</v>
      </c>
      <c r="C103" s="27" t="s">
        <v>6</v>
      </c>
      <c r="D103" s="27" t="s">
        <v>7</v>
      </c>
      <c r="E103" s="27" t="s">
        <v>8</v>
      </c>
      <c r="F103" s="27" t="s">
        <v>9</v>
      </c>
    </row>
    <row r="104" spans="1:6">
      <c r="A104" s="10" t="s">
        <v>10</v>
      </c>
      <c r="B104" s="32" t="s">
        <v>18</v>
      </c>
      <c r="C104" s="29">
        <f>D104/12</f>
        <v>0.66666666666666663</v>
      </c>
      <c r="D104" s="31">
        <f>16000/2000</f>
        <v>8</v>
      </c>
      <c r="E104" s="29" t="s">
        <v>11</v>
      </c>
      <c r="F104" s="29" t="s">
        <v>11</v>
      </c>
    </row>
    <row r="105" spans="1:6">
      <c r="A105" t="s">
        <v>12</v>
      </c>
      <c r="B105" s="111" t="s">
        <v>18</v>
      </c>
      <c r="C105" s="29">
        <f t="shared" ref="C105:C109" si="6">D105/12</f>
        <v>0.42499999999999999</v>
      </c>
      <c r="D105" s="11">
        <f>20400/4000</f>
        <v>5.0999999999999996</v>
      </c>
      <c r="E105" s="7" t="s">
        <v>11</v>
      </c>
      <c r="F105" s="7" t="s">
        <v>11</v>
      </c>
    </row>
    <row r="106" spans="1:6">
      <c r="A106" s="10" t="s">
        <v>13</v>
      </c>
      <c r="B106" s="32" t="s">
        <v>18</v>
      </c>
      <c r="C106" s="29">
        <f t="shared" si="6"/>
        <v>0.25989583333333333</v>
      </c>
      <c r="D106" s="31">
        <f>24950/8000</f>
        <v>3.1187499999999999</v>
      </c>
      <c r="E106" s="29" t="s">
        <v>11</v>
      </c>
      <c r="F106" s="29" t="s">
        <v>11</v>
      </c>
    </row>
    <row r="107" spans="1:6">
      <c r="A107" t="s">
        <v>14</v>
      </c>
      <c r="B107" s="111" t="s">
        <v>18</v>
      </c>
      <c r="C107" s="29">
        <f t="shared" si="6"/>
        <v>0.16555555555555554</v>
      </c>
      <c r="D107" s="11">
        <f>29800/15000</f>
        <v>1.9866666666666666</v>
      </c>
      <c r="E107" s="7" t="s">
        <v>11</v>
      </c>
      <c r="F107" s="7" t="s">
        <v>11</v>
      </c>
    </row>
    <row r="108" spans="1:6">
      <c r="A108" s="10" t="s">
        <v>15</v>
      </c>
      <c r="B108" s="32" t="s">
        <v>18</v>
      </c>
      <c r="C108" s="29">
        <f t="shared" si="6"/>
        <v>0.11833333333333333</v>
      </c>
      <c r="D108" s="31">
        <f>35500/25000</f>
        <v>1.42</v>
      </c>
      <c r="E108" s="29" t="s">
        <v>11</v>
      </c>
      <c r="F108" s="29" t="s">
        <v>11</v>
      </c>
    </row>
    <row r="109" spans="1:6">
      <c r="A109" t="s">
        <v>16</v>
      </c>
      <c r="B109" s="111" t="s">
        <v>18</v>
      </c>
      <c r="C109" s="29">
        <f t="shared" si="6"/>
        <v>6.8749999999999992E-2</v>
      </c>
      <c r="D109" s="11">
        <f>41250/50000</f>
        <v>0.82499999999999996</v>
      </c>
      <c r="E109" s="7" t="s">
        <v>11</v>
      </c>
      <c r="F109" s="7" t="s">
        <v>11</v>
      </c>
    </row>
    <row r="110" spans="1:6">
      <c r="A110" s="12" t="s">
        <v>17</v>
      </c>
      <c r="B110" s="32" t="s">
        <v>18</v>
      </c>
      <c r="C110" s="30" t="s">
        <v>28</v>
      </c>
      <c r="D110" s="32" t="s">
        <v>18</v>
      </c>
      <c r="E110" s="30" t="s">
        <v>11</v>
      </c>
      <c r="F110" s="30" t="s">
        <v>11</v>
      </c>
    </row>
    <row r="112" spans="1:6">
      <c r="A112" s="51"/>
    </row>
    <row r="113" spans="1:6" ht="18.75">
      <c r="A113" s="15" t="s">
        <v>65</v>
      </c>
    </row>
    <row r="114" spans="1:6" ht="18.75">
      <c r="A114" s="24" t="s">
        <v>35</v>
      </c>
    </row>
    <row r="115" spans="1:6">
      <c r="A115" s="33" t="s">
        <v>4</v>
      </c>
      <c r="B115" s="34" t="s">
        <v>5</v>
      </c>
      <c r="C115" s="34" t="s">
        <v>6</v>
      </c>
      <c r="D115" s="34" t="s">
        <v>7</v>
      </c>
      <c r="E115" s="34" t="s">
        <v>8</v>
      </c>
      <c r="F115" s="34" t="s">
        <v>9</v>
      </c>
    </row>
    <row r="116" spans="1:6">
      <c r="A116" s="35" t="s">
        <v>10</v>
      </c>
      <c r="B116" s="32" t="s">
        <v>18</v>
      </c>
      <c r="C116" s="36">
        <f>D116/12</f>
        <v>1.3333333333333333</v>
      </c>
      <c r="D116" s="37">
        <f>32000/2000</f>
        <v>16</v>
      </c>
      <c r="E116" s="36" t="s">
        <v>11</v>
      </c>
      <c r="F116" s="36" t="s">
        <v>11</v>
      </c>
    </row>
    <row r="117" spans="1:6">
      <c r="A117" s="38" t="s">
        <v>12</v>
      </c>
      <c r="B117" s="111" t="s">
        <v>18</v>
      </c>
      <c r="C117" s="36">
        <f t="shared" ref="C117:C121" si="7">D117/12</f>
        <v>0.85</v>
      </c>
      <c r="D117" s="40">
        <f>40800/4000</f>
        <v>10.199999999999999</v>
      </c>
      <c r="E117" s="39" t="s">
        <v>11</v>
      </c>
      <c r="F117" s="39" t="s">
        <v>11</v>
      </c>
    </row>
    <row r="118" spans="1:6">
      <c r="A118" s="35" t="s">
        <v>13</v>
      </c>
      <c r="B118" s="32" t="s">
        <v>18</v>
      </c>
      <c r="C118" s="36">
        <f t="shared" si="7"/>
        <v>0.51979166666666665</v>
      </c>
      <c r="D118" s="37">
        <f>49900/8000</f>
        <v>6.2374999999999998</v>
      </c>
      <c r="E118" s="36" t="s">
        <v>11</v>
      </c>
      <c r="F118" s="36" t="s">
        <v>11</v>
      </c>
    </row>
    <row r="119" spans="1:6">
      <c r="A119" s="38" t="s">
        <v>14</v>
      </c>
      <c r="B119" s="111" t="s">
        <v>18</v>
      </c>
      <c r="C119" s="36">
        <f t="shared" si="7"/>
        <v>0.33111111111111108</v>
      </c>
      <c r="D119" s="40">
        <f>59600/15000</f>
        <v>3.9733333333333332</v>
      </c>
      <c r="E119" s="39" t="s">
        <v>11</v>
      </c>
      <c r="F119" s="39" t="s">
        <v>11</v>
      </c>
    </row>
    <row r="120" spans="1:6">
      <c r="A120" s="35" t="s">
        <v>15</v>
      </c>
      <c r="B120" s="32" t="s">
        <v>18</v>
      </c>
      <c r="C120" s="36">
        <f t="shared" si="7"/>
        <v>0.23666666666666666</v>
      </c>
      <c r="D120" s="37">
        <f>71000/25000</f>
        <v>2.84</v>
      </c>
      <c r="E120" s="36" t="s">
        <v>11</v>
      </c>
      <c r="F120" s="36" t="s">
        <v>11</v>
      </c>
    </row>
    <row r="121" spans="1:6">
      <c r="A121" s="38" t="s">
        <v>16</v>
      </c>
      <c r="B121" s="111" t="s">
        <v>18</v>
      </c>
      <c r="C121" s="36">
        <f t="shared" si="7"/>
        <v>0.13749999999999998</v>
      </c>
      <c r="D121" s="40">
        <f>82500/50000</f>
        <v>1.65</v>
      </c>
      <c r="E121" s="39" t="s">
        <v>11</v>
      </c>
      <c r="F121" s="39" t="s">
        <v>11</v>
      </c>
    </row>
    <row r="122" spans="1:6">
      <c r="A122" s="41" t="s">
        <v>17</v>
      </c>
      <c r="B122" s="32" t="s">
        <v>18</v>
      </c>
      <c r="C122" s="30" t="s">
        <v>28</v>
      </c>
      <c r="D122" s="43" t="s">
        <v>18</v>
      </c>
      <c r="E122" s="42" t="s">
        <v>11</v>
      </c>
      <c r="F122" s="42" t="s">
        <v>11</v>
      </c>
    </row>
    <row r="123" spans="1:6">
      <c r="A123" t="s">
        <v>62</v>
      </c>
    </row>
    <row r="124" spans="1:6">
      <c r="A124" s="52"/>
    </row>
    <row r="125" spans="1:6" ht="18.75">
      <c r="A125" s="15" t="s">
        <v>66</v>
      </c>
    </row>
    <row r="126" spans="1:6" ht="18.75">
      <c r="A126" s="24" t="s">
        <v>35</v>
      </c>
    </row>
    <row r="127" spans="1:6">
      <c r="A127" s="33" t="s">
        <v>4</v>
      </c>
      <c r="B127" s="34" t="s">
        <v>5</v>
      </c>
      <c r="C127" s="34" t="s">
        <v>6</v>
      </c>
      <c r="D127" s="34" t="s">
        <v>7</v>
      </c>
      <c r="E127" s="34" t="s">
        <v>8</v>
      </c>
      <c r="F127" s="34" t="s">
        <v>9</v>
      </c>
    </row>
    <row r="128" spans="1:6">
      <c r="A128" s="35" t="s">
        <v>10</v>
      </c>
      <c r="B128" s="36">
        <v>51600</v>
      </c>
      <c r="C128" s="36">
        <f>D128/12</f>
        <v>2.31</v>
      </c>
      <c r="D128" s="37">
        <f>55440/2000</f>
        <v>27.72</v>
      </c>
      <c r="E128" s="36" t="s">
        <v>11</v>
      </c>
      <c r="F128" s="36" t="s">
        <v>11</v>
      </c>
    </row>
    <row r="129" spans="1:6">
      <c r="A129" s="38" t="s">
        <v>12</v>
      </c>
      <c r="B129" s="110">
        <v>51600</v>
      </c>
      <c r="C129" s="36">
        <f t="shared" ref="C129:C133" si="8">D129/12</f>
        <v>1.3614583333333332</v>
      </c>
      <c r="D129" s="40">
        <f>65350/4000</f>
        <v>16.337499999999999</v>
      </c>
      <c r="E129" s="39" t="s">
        <v>11</v>
      </c>
      <c r="F129" s="39" t="s">
        <v>11</v>
      </c>
    </row>
    <row r="130" spans="1:6">
      <c r="A130" s="35" t="s">
        <v>13</v>
      </c>
      <c r="B130" s="36">
        <v>51600</v>
      </c>
      <c r="C130" s="36">
        <f t="shared" si="8"/>
        <v>0.89833333333333332</v>
      </c>
      <c r="D130" s="37">
        <f>86240/8000</f>
        <v>10.78</v>
      </c>
      <c r="E130" s="36" t="s">
        <v>11</v>
      </c>
      <c r="F130" s="36" t="s">
        <v>11</v>
      </c>
    </row>
    <row r="131" spans="1:6">
      <c r="A131" s="38" t="s">
        <v>14</v>
      </c>
      <c r="B131" s="110">
        <v>51600</v>
      </c>
      <c r="C131" s="36">
        <f t="shared" si="8"/>
        <v>0.66733333333333322</v>
      </c>
      <c r="D131" s="40">
        <f>120120/15000</f>
        <v>8.0079999999999991</v>
      </c>
      <c r="E131" s="39" t="s">
        <v>11</v>
      </c>
      <c r="F131" s="39" t="s">
        <v>11</v>
      </c>
    </row>
    <row r="132" spans="1:6">
      <c r="A132" s="35" t="s">
        <v>15</v>
      </c>
      <c r="B132" s="36">
        <v>51600</v>
      </c>
      <c r="C132" s="36">
        <f t="shared" si="8"/>
        <v>0.50050000000000006</v>
      </c>
      <c r="D132" s="37">
        <f>150150/25000</f>
        <v>6.0060000000000002</v>
      </c>
      <c r="E132" s="36" t="s">
        <v>11</v>
      </c>
      <c r="F132" s="36" t="s">
        <v>11</v>
      </c>
    </row>
    <row r="133" spans="1:6">
      <c r="A133" s="38" t="s">
        <v>16</v>
      </c>
      <c r="B133" s="110">
        <v>51600</v>
      </c>
      <c r="C133" s="36">
        <f t="shared" si="8"/>
        <v>0.29516666666666663</v>
      </c>
      <c r="D133" s="40">
        <f>177100/50000</f>
        <v>3.5419999999999998</v>
      </c>
      <c r="E133" s="39" t="s">
        <v>11</v>
      </c>
      <c r="F133" s="39" t="s">
        <v>11</v>
      </c>
    </row>
    <row r="134" spans="1:6">
      <c r="A134" s="41" t="s">
        <v>17</v>
      </c>
      <c r="B134" s="36">
        <v>51600</v>
      </c>
      <c r="C134" s="30" t="s">
        <v>28</v>
      </c>
      <c r="D134" s="43" t="s">
        <v>18</v>
      </c>
      <c r="E134" s="42" t="s">
        <v>11</v>
      </c>
      <c r="F134" s="42" t="s">
        <v>11</v>
      </c>
    </row>
    <row r="135" spans="1:6">
      <c r="A135" s="41" t="s">
        <v>67</v>
      </c>
      <c r="B135" s="110" t="s">
        <v>18</v>
      </c>
      <c r="C135" s="30" t="s">
        <v>28</v>
      </c>
      <c r="D135" s="43" t="s">
        <v>18</v>
      </c>
      <c r="E135" s="42" t="s">
        <v>11</v>
      </c>
      <c r="F135" s="42" t="s">
        <v>11</v>
      </c>
    </row>
    <row r="137" spans="1:6">
      <c r="A137" s="52"/>
    </row>
    <row r="138" spans="1:6" ht="18.75">
      <c r="A138" s="15" t="s">
        <v>68</v>
      </c>
    </row>
    <row r="139" spans="1:6" ht="18.75">
      <c r="A139" s="24" t="s">
        <v>35</v>
      </c>
    </row>
    <row r="140" spans="1:6">
      <c r="A140" s="33" t="s">
        <v>4</v>
      </c>
      <c r="B140" s="34" t="s">
        <v>5</v>
      </c>
      <c r="C140" s="34" t="s">
        <v>6</v>
      </c>
      <c r="D140" s="34" t="s">
        <v>7</v>
      </c>
      <c r="E140" s="34" t="s">
        <v>8</v>
      </c>
      <c r="F140" s="34" t="s">
        <v>9</v>
      </c>
    </row>
    <row r="141" spans="1:6">
      <c r="A141" s="35" t="s">
        <v>10</v>
      </c>
      <c r="B141" s="36">
        <v>51600</v>
      </c>
      <c r="C141" s="36">
        <f>D141/12</f>
        <v>1.5</v>
      </c>
      <c r="D141" s="37">
        <f>36000/2000</f>
        <v>18</v>
      </c>
      <c r="E141" s="36" t="s">
        <v>11</v>
      </c>
      <c r="F141" s="36" t="s">
        <v>11</v>
      </c>
    </row>
    <row r="142" spans="1:6">
      <c r="A142" s="38" t="s">
        <v>12</v>
      </c>
      <c r="B142" s="110">
        <v>51600</v>
      </c>
      <c r="C142" s="36">
        <f t="shared" ref="C142:C146" si="9">D142/12</f>
        <v>0.88541666666666663</v>
      </c>
      <c r="D142" s="40">
        <f>42500/4000</f>
        <v>10.625</v>
      </c>
      <c r="E142" s="39" t="s">
        <v>11</v>
      </c>
      <c r="F142" s="39" t="s">
        <v>11</v>
      </c>
    </row>
    <row r="143" spans="1:6">
      <c r="A143" s="35" t="s">
        <v>13</v>
      </c>
      <c r="B143" s="36">
        <v>51600</v>
      </c>
      <c r="C143" s="36">
        <f t="shared" si="9"/>
        <v>0.58333333333333337</v>
      </c>
      <c r="D143" s="37">
        <f>56000/8000</f>
        <v>7</v>
      </c>
      <c r="E143" s="36" t="s">
        <v>11</v>
      </c>
      <c r="F143" s="36" t="s">
        <v>11</v>
      </c>
    </row>
    <row r="144" spans="1:6">
      <c r="A144" s="38" t="s">
        <v>14</v>
      </c>
      <c r="B144" s="110">
        <v>51600</v>
      </c>
      <c r="C144" s="36">
        <f t="shared" si="9"/>
        <v>0.43333333333333335</v>
      </c>
      <c r="D144" s="40">
        <f>78000/15000</f>
        <v>5.2</v>
      </c>
      <c r="E144" s="39" t="s">
        <v>11</v>
      </c>
      <c r="F144" s="39" t="s">
        <v>11</v>
      </c>
    </row>
    <row r="145" spans="1:6">
      <c r="A145" s="35" t="s">
        <v>15</v>
      </c>
      <c r="B145" s="36">
        <v>51600</v>
      </c>
      <c r="C145" s="36">
        <f t="shared" si="9"/>
        <v>0.32500000000000001</v>
      </c>
      <c r="D145" s="37">
        <f>97500/25000</f>
        <v>3.9</v>
      </c>
      <c r="E145" s="36" t="s">
        <v>11</v>
      </c>
      <c r="F145" s="36" t="s">
        <v>11</v>
      </c>
    </row>
    <row r="146" spans="1:6">
      <c r="A146" s="38" t="s">
        <v>16</v>
      </c>
      <c r="B146" s="110">
        <v>51600</v>
      </c>
      <c r="C146" s="36">
        <f t="shared" si="9"/>
        <v>0.19166666666666665</v>
      </c>
      <c r="D146" s="40">
        <f>115000/50000</f>
        <v>2.2999999999999998</v>
      </c>
      <c r="E146" s="39" t="s">
        <v>11</v>
      </c>
      <c r="F146" s="39" t="s">
        <v>11</v>
      </c>
    </row>
    <row r="147" spans="1:6">
      <c r="A147" s="41" t="s">
        <v>17</v>
      </c>
      <c r="B147" s="42" t="s">
        <v>18</v>
      </c>
      <c r="C147" s="30" t="s">
        <v>28</v>
      </c>
      <c r="D147" s="43" t="s">
        <v>18</v>
      </c>
      <c r="E147" s="42" t="s">
        <v>11</v>
      </c>
      <c r="F147" s="42" t="s">
        <v>11</v>
      </c>
    </row>
    <row r="148" spans="1:6" s="123" customFormat="1">
      <c r="A148" s="120" t="s">
        <v>69</v>
      </c>
      <c r="B148" s="121" t="s">
        <v>18</v>
      </c>
      <c r="C148" s="30" t="s">
        <v>28</v>
      </c>
      <c r="D148" s="122" t="s">
        <v>18</v>
      </c>
      <c r="E148" s="121" t="s">
        <v>11</v>
      </c>
      <c r="F148" s="121" t="s">
        <v>11</v>
      </c>
    </row>
    <row r="150" spans="1:6">
      <c r="A150" s="52"/>
    </row>
    <row r="151" spans="1:6" ht="18.75">
      <c r="A151" s="15" t="s">
        <v>70</v>
      </c>
    </row>
    <row r="152" spans="1:6" ht="18.75">
      <c r="A152" s="24" t="s">
        <v>35</v>
      </c>
    </row>
    <row r="153" spans="1:6">
      <c r="A153" s="33" t="s">
        <v>4</v>
      </c>
      <c r="B153" s="34" t="s">
        <v>5</v>
      </c>
      <c r="C153" s="34" t="s">
        <v>6</v>
      </c>
      <c r="D153" s="34" t="s">
        <v>7</v>
      </c>
      <c r="E153" s="34" t="s">
        <v>8</v>
      </c>
      <c r="F153" s="34" t="s">
        <v>9</v>
      </c>
    </row>
    <row r="154" spans="1:6">
      <c r="A154" s="35" t="s">
        <v>10</v>
      </c>
      <c r="B154" s="36">
        <v>51600</v>
      </c>
      <c r="C154" s="36">
        <f>D154/12</f>
        <v>1.3499999999999999</v>
      </c>
      <c r="D154" s="37">
        <f>32400/2000</f>
        <v>16.2</v>
      </c>
      <c r="E154" s="36" t="s">
        <v>11</v>
      </c>
      <c r="F154" s="36" t="s">
        <v>11</v>
      </c>
    </row>
    <row r="155" spans="1:6">
      <c r="A155" s="38" t="s">
        <v>12</v>
      </c>
      <c r="B155" s="39">
        <v>51600</v>
      </c>
      <c r="C155" s="36">
        <f t="shared" ref="C155:C159" si="10">D155/12</f>
        <v>0.796875</v>
      </c>
      <c r="D155" s="40">
        <f>38250/4000</f>
        <v>9.5625</v>
      </c>
      <c r="E155" s="39" t="s">
        <v>11</v>
      </c>
      <c r="F155" s="39" t="s">
        <v>11</v>
      </c>
    </row>
    <row r="156" spans="1:6">
      <c r="A156" s="35" t="s">
        <v>13</v>
      </c>
      <c r="B156" s="36">
        <v>51600</v>
      </c>
      <c r="C156" s="36">
        <f t="shared" si="10"/>
        <v>0.52500000000000002</v>
      </c>
      <c r="D156" s="37">
        <f>50400/8000</f>
        <v>6.3</v>
      </c>
      <c r="E156" s="36" t="s">
        <v>11</v>
      </c>
      <c r="F156" s="36" t="s">
        <v>11</v>
      </c>
    </row>
    <row r="157" spans="1:6">
      <c r="A157" s="38" t="s">
        <v>14</v>
      </c>
      <c r="B157" s="39">
        <v>51600</v>
      </c>
      <c r="C157" s="36">
        <f t="shared" si="10"/>
        <v>0.38999999999999996</v>
      </c>
      <c r="D157" s="40">
        <f>70200/15000</f>
        <v>4.68</v>
      </c>
      <c r="E157" s="39" t="s">
        <v>11</v>
      </c>
      <c r="F157" s="39" t="s">
        <v>11</v>
      </c>
    </row>
    <row r="158" spans="1:6">
      <c r="A158" s="35" t="s">
        <v>15</v>
      </c>
      <c r="B158" s="36">
        <v>51600</v>
      </c>
      <c r="C158" s="36">
        <f t="shared" si="10"/>
        <v>0.29249999999999998</v>
      </c>
      <c r="D158" s="37">
        <f>87750/25000</f>
        <v>3.51</v>
      </c>
      <c r="E158" s="36" t="s">
        <v>11</v>
      </c>
      <c r="F158" s="36" t="s">
        <v>11</v>
      </c>
    </row>
    <row r="159" spans="1:6">
      <c r="A159" s="38" t="s">
        <v>16</v>
      </c>
      <c r="B159" s="39">
        <v>51600</v>
      </c>
      <c r="C159" s="36">
        <f t="shared" si="10"/>
        <v>0.17249999999999999</v>
      </c>
      <c r="D159" s="40">
        <f>103500/50000</f>
        <v>2.0699999999999998</v>
      </c>
      <c r="E159" s="39" t="s">
        <v>11</v>
      </c>
      <c r="F159" s="39" t="s">
        <v>11</v>
      </c>
    </row>
    <row r="160" spans="1:6">
      <c r="A160" s="41" t="s">
        <v>17</v>
      </c>
      <c r="B160" s="42" t="s">
        <v>18</v>
      </c>
      <c r="C160" s="30" t="s">
        <v>28</v>
      </c>
      <c r="D160" s="43" t="s">
        <v>18</v>
      </c>
      <c r="E160" s="42" t="s">
        <v>11</v>
      </c>
      <c r="F160" s="42" t="s">
        <v>11</v>
      </c>
    </row>
    <row r="161" spans="1:6" s="123" customFormat="1">
      <c r="A161" s="120" t="s">
        <v>69</v>
      </c>
      <c r="B161" s="121" t="s">
        <v>18</v>
      </c>
      <c r="C161" s="30" t="s">
        <v>28</v>
      </c>
      <c r="D161" s="122" t="s">
        <v>18</v>
      </c>
      <c r="E161" s="121" t="s">
        <v>11</v>
      </c>
      <c r="F161" s="121" t="s">
        <v>11</v>
      </c>
    </row>
    <row r="163" spans="1:6">
      <c r="A163" s="52"/>
    </row>
    <row r="164" spans="1:6" ht="18.75">
      <c r="A164" s="15" t="s">
        <v>71</v>
      </c>
    </row>
    <row r="165" spans="1:6" ht="18.75">
      <c r="A165" s="24" t="s">
        <v>35</v>
      </c>
    </row>
    <row r="166" spans="1:6">
      <c r="A166" s="33" t="s">
        <v>4</v>
      </c>
      <c r="B166" s="34" t="s">
        <v>5</v>
      </c>
      <c r="C166" s="34" t="s">
        <v>6</v>
      </c>
      <c r="D166" s="34" t="s">
        <v>7</v>
      </c>
      <c r="E166" s="34" t="s">
        <v>8</v>
      </c>
      <c r="F166" s="34" t="s">
        <v>9</v>
      </c>
    </row>
    <row r="167" spans="1:6">
      <c r="A167" s="35" t="s">
        <v>10</v>
      </c>
      <c r="B167" s="36">
        <v>51600</v>
      </c>
      <c r="C167" s="36">
        <f>D167/12</f>
        <v>1.2750000000000001</v>
      </c>
      <c r="D167" s="37">
        <f>30600/2000</f>
        <v>15.3</v>
      </c>
      <c r="E167" s="36" t="s">
        <v>11</v>
      </c>
      <c r="F167" s="36" t="s">
        <v>11</v>
      </c>
    </row>
    <row r="168" spans="1:6">
      <c r="A168" s="38" t="s">
        <v>12</v>
      </c>
      <c r="B168" s="39">
        <v>51600</v>
      </c>
      <c r="C168" s="36">
        <f t="shared" ref="C168:C172" si="11">D168/12</f>
        <v>0.75270833333333342</v>
      </c>
      <c r="D168" s="40">
        <f>36130/4000</f>
        <v>9.0325000000000006</v>
      </c>
      <c r="E168" s="39" t="s">
        <v>11</v>
      </c>
      <c r="F168" s="39" t="s">
        <v>11</v>
      </c>
    </row>
    <row r="169" spans="1:6">
      <c r="A169" s="35" t="s">
        <v>13</v>
      </c>
      <c r="B169" s="36">
        <v>51600</v>
      </c>
      <c r="C169" s="36">
        <f t="shared" si="11"/>
        <v>0.49583333333333335</v>
      </c>
      <c r="D169" s="37">
        <f>47600/8000</f>
        <v>5.95</v>
      </c>
      <c r="E169" s="36" t="s">
        <v>11</v>
      </c>
      <c r="F169" s="36" t="s">
        <v>11</v>
      </c>
    </row>
    <row r="170" spans="1:6">
      <c r="A170" s="38" t="s">
        <v>14</v>
      </c>
      <c r="B170" s="39">
        <v>51600</v>
      </c>
      <c r="C170" s="36">
        <f t="shared" si="11"/>
        <v>0.36833333333333335</v>
      </c>
      <c r="D170" s="40">
        <f>66300/15000</f>
        <v>4.42</v>
      </c>
      <c r="E170" s="39" t="s">
        <v>11</v>
      </c>
      <c r="F170" s="39" t="s">
        <v>11</v>
      </c>
    </row>
    <row r="171" spans="1:6">
      <c r="A171" s="35" t="s">
        <v>15</v>
      </c>
      <c r="B171" s="36">
        <v>51600</v>
      </c>
      <c r="C171" s="36">
        <f t="shared" si="11"/>
        <v>0.27626666666666666</v>
      </c>
      <c r="D171" s="37">
        <f>82880/25000</f>
        <v>3.3151999999999999</v>
      </c>
      <c r="E171" s="36" t="s">
        <v>11</v>
      </c>
      <c r="F171" s="36" t="s">
        <v>11</v>
      </c>
    </row>
    <row r="172" spans="1:6">
      <c r="A172" s="38" t="s">
        <v>16</v>
      </c>
      <c r="B172" s="39">
        <v>51600</v>
      </c>
      <c r="C172" s="36">
        <f t="shared" si="11"/>
        <v>0.16291666666666668</v>
      </c>
      <c r="D172" s="40">
        <f>97750/50000</f>
        <v>1.9550000000000001</v>
      </c>
      <c r="E172" s="39" t="s">
        <v>11</v>
      </c>
      <c r="F172" s="39" t="s">
        <v>11</v>
      </c>
    </row>
    <row r="173" spans="1:6">
      <c r="A173" s="41" t="s">
        <v>17</v>
      </c>
      <c r="B173" s="42" t="s">
        <v>18</v>
      </c>
      <c r="C173" s="30" t="s">
        <v>28</v>
      </c>
      <c r="D173" s="43" t="s">
        <v>18</v>
      </c>
      <c r="E173" s="42" t="s">
        <v>11</v>
      </c>
      <c r="F173" s="42" t="s">
        <v>11</v>
      </c>
    </row>
    <row r="174" spans="1:6" s="123" customFormat="1">
      <c r="A174" s="120" t="s">
        <v>67</v>
      </c>
      <c r="B174" s="121" t="s">
        <v>18</v>
      </c>
      <c r="C174" s="30" t="s">
        <v>28</v>
      </c>
      <c r="D174" s="122" t="s">
        <v>18</v>
      </c>
      <c r="E174" s="121" t="s">
        <v>11</v>
      </c>
      <c r="F174" s="121" t="s">
        <v>11</v>
      </c>
    </row>
    <row r="176" spans="1:6">
      <c r="A176" s="52"/>
    </row>
    <row r="177" spans="1:6" ht="18.75">
      <c r="A177" s="15" t="s">
        <v>72</v>
      </c>
      <c r="C177" s="6" t="s">
        <v>73</v>
      </c>
    </row>
    <row r="178" spans="1:6" ht="18.75">
      <c r="A178" s="24" t="s">
        <v>35</v>
      </c>
      <c r="E178" s="6" t="s">
        <v>74</v>
      </c>
    </row>
    <row r="179" spans="1:6">
      <c r="A179" s="33" t="s">
        <v>4</v>
      </c>
      <c r="B179" s="34" t="s">
        <v>5</v>
      </c>
      <c r="C179" s="34" t="s">
        <v>6</v>
      </c>
      <c r="D179" s="34" t="s">
        <v>7</v>
      </c>
      <c r="E179" s="34" t="s">
        <v>8</v>
      </c>
      <c r="F179" s="34" t="s">
        <v>9</v>
      </c>
    </row>
    <row r="180" spans="1:6">
      <c r="A180" s="35" t="s">
        <v>10</v>
      </c>
      <c r="B180" s="36">
        <v>25000</v>
      </c>
      <c r="C180" s="36">
        <f>D180/12</f>
        <v>1.3499999999999999</v>
      </c>
      <c r="D180" s="37">
        <f>32400/2000</f>
        <v>16.2</v>
      </c>
      <c r="E180" s="36" t="s">
        <v>11</v>
      </c>
      <c r="F180" s="36" t="s">
        <v>11</v>
      </c>
    </row>
    <row r="181" spans="1:6">
      <c r="A181" s="38" t="s">
        <v>12</v>
      </c>
      <c r="B181" s="39">
        <v>25000</v>
      </c>
      <c r="C181" s="36">
        <f t="shared" ref="C181:C185" si="12">D181/12</f>
        <v>0.796875</v>
      </c>
      <c r="D181" s="40">
        <f>38250/4000</f>
        <v>9.5625</v>
      </c>
      <c r="E181" s="39" t="s">
        <v>11</v>
      </c>
      <c r="F181" s="39" t="s">
        <v>11</v>
      </c>
    </row>
    <row r="182" spans="1:6">
      <c r="A182" s="35" t="s">
        <v>13</v>
      </c>
      <c r="B182" s="36">
        <v>25000</v>
      </c>
      <c r="C182" s="36">
        <f t="shared" si="12"/>
        <v>0.52500000000000002</v>
      </c>
      <c r="D182" s="37">
        <f>50400/8000</f>
        <v>6.3</v>
      </c>
      <c r="E182" s="36" t="s">
        <v>11</v>
      </c>
      <c r="F182" s="36" t="s">
        <v>11</v>
      </c>
    </row>
    <row r="183" spans="1:6">
      <c r="A183" s="38" t="s">
        <v>14</v>
      </c>
      <c r="B183" s="39">
        <v>25000</v>
      </c>
      <c r="C183" s="36">
        <f t="shared" si="12"/>
        <v>0.38999999999999996</v>
      </c>
      <c r="D183" s="40">
        <f>70200/15000</f>
        <v>4.68</v>
      </c>
      <c r="E183" s="39" t="s">
        <v>11</v>
      </c>
      <c r="F183" s="39" t="s">
        <v>11</v>
      </c>
    </row>
    <row r="184" spans="1:6">
      <c r="A184" s="35" t="s">
        <v>15</v>
      </c>
      <c r="B184" s="36">
        <v>25000</v>
      </c>
      <c r="C184" s="36">
        <f t="shared" si="12"/>
        <v>0.29249999999999998</v>
      </c>
      <c r="D184" s="37">
        <f>87750/25000</f>
        <v>3.51</v>
      </c>
      <c r="E184" s="36" t="s">
        <v>11</v>
      </c>
      <c r="F184" s="36" t="s">
        <v>11</v>
      </c>
    </row>
    <row r="185" spans="1:6">
      <c r="A185" s="38" t="s">
        <v>16</v>
      </c>
      <c r="B185" s="39">
        <v>25000</v>
      </c>
      <c r="C185" s="36">
        <f t="shared" si="12"/>
        <v>0.17249999999999999</v>
      </c>
      <c r="D185" s="40">
        <f>103500/50000</f>
        <v>2.0699999999999998</v>
      </c>
      <c r="E185" s="39" t="s">
        <v>11</v>
      </c>
      <c r="F185" s="39" t="s">
        <v>11</v>
      </c>
    </row>
    <row r="186" spans="1:6">
      <c r="A186" s="41" t="s">
        <v>17</v>
      </c>
      <c r="B186" s="42" t="s">
        <v>18</v>
      </c>
      <c r="C186" s="30" t="s">
        <v>28</v>
      </c>
      <c r="D186" s="43" t="s">
        <v>18</v>
      </c>
      <c r="E186" s="42" t="s">
        <v>11</v>
      </c>
      <c r="F186" s="42" t="s">
        <v>11</v>
      </c>
    </row>
    <row r="187" spans="1:6" s="123" customFormat="1">
      <c r="A187" s="120" t="s">
        <v>67</v>
      </c>
      <c r="B187" s="121" t="s">
        <v>18</v>
      </c>
      <c r="C187" s="30" t="s">
        <v>28</v>
      </c>
      <c r="D187" s="122" t="s">
        <v>18</v>
      </c>
      <c r="E187" s="121" t="s">
        <v>11</v>
      </c>
      <c r="F187" s="121" t="s">
        <v>11</v>
      </c>
    </row>
    <row r="189" spans="1:6">
      <c r="A189" s="52"/>
    </row>
    <row r="190" spans="1:6" ht="18.75">
      <c r="A190" s="15" t="s">
        <v>75</v>
      </c>
    </row>
    <row r="191" spans="1:6" ht="18.75">
      <c r="A191" s="24" t="s">
        <v>35</v>
      </c>
    </row>
    <row r="192" spans="1:6">
      <c r="A192" s="33" t="s">
        <v>4</v>
      </c>
      <c r="B192" s="34" t="s">
        <v>5</v>
      </c>
      <c r="C192" s="34" t="s">
        <v>6</v>
      </c>
      <c r="D192" s="34" t="s">
        <v>7</v>
      </c>
      <c r="E192" s="34" t="s">
        <v>8</v>
      </c>
      <c r="F192" s="34" t="s">
        <v>9</v>
      </c>
    </row>
    <row r="193" spans="1:6">
      <c r="A193" s="35" t="s">
        <v>10</v>
      </c>
      <c r="B193" s="36">
        <v>51600</v>
      </c>
      <c r="C193" s="36">
        <f>D193/12</f>
        <v>1.2750000000000001</v>
      </c>
      <c r="D193" s="37">
        <f>30600/2000</f>
        <v>15.3</v>
      </c>
      <c r="E193" s="36" t="s">
        <v>11</v>
      </c>
      <c r="F193" s="36" t="s">
        <v>11</v>
      </c>
    </row>
    <row r="194" spans="1:6">
      <c r="A194" s="38" t="s">
        <v>12</v>
      </c>
      <c r="B194" s="39">
        <v>51600</v>
      </c>
      <c r="C194" s="36">
        <f t="shared" ref="C194:C198" si="13">D194/12</f>
        <v>0.75270833333333342</v>
      </c>
      <c r="D194" s="40">
        <f>36130/4000</f>
        <v>9.0325000000000006</v>
      </c>
      <c r="E194" s="39" t="s">
        <v>11</v>
      </c>
      <c r="F194" s="39" t="s">
        <v>11</v>
      </c>
    </row>
    <row r="195" spans="1:6">
      <c r="A195" s="35" t="s">
        <v>13</v>
      </c>
      <c r="B195" s="36">
        <v>51600</v>
      </c>
      <c r="C195" s="36">
        <f t="shared" si="13"/>
        <v>0.49583333333333335</v>
      </c>
      <c r="D195" s="37">
        <f>47600/8000</f>
        <v>5.95</v>
      </c>
      <c r="E195" s="36" t="s">
        <v>11</v>
      </c>
      <c r="F195" s="36" t="s">
        <v>11</v>
      </c>
    </row>
    <row r="196" spans="1:6">
      <c r="A196" s="38" t="s">
        <v>14</v>
      </c>
      <c r="B196" s="39">
        <v>51600</v>
      </c>
      <c r="C196" s="36">
        <f t="shared" si="13"/>
        <v>0.36833333333333335</v>
      </c>
      <c r="D196" s="40">
        <f>66300/15000</f>
        <v>4.42</v>
      </c>
      <c r="E196" s="39" t="s">
        <v>11</v>
      </c>
      <c r="F196" s="39" t="s">
        <v>11</v>
      </c>
    </row>
    <row r="197" spans="1:6">
      <c r="A197" s="35" t="s">
        <v>15</v>
      </c>
      <c r="B197" s="36">
        <v>51600</v>
      </c>
      <c r="C197" s="36">
        <f t="shared" si="13"/>
        <v>0.27626666666666666</v>
      </c>
      <c r="D197" s="37">
        <f>82880/25000</f>
        <v>3.3151999999999999</v>
      </c>
      <c r="E197" s="36" t="s">
        <v>11</v>
      </c>
      <c r="F197" s="36" t="s">
        <v>11</v>
      </c>
    </row>
    <row r="198" spans="1:6">
      <c r="A198" s="38" t="s">
        <v>16</v>
      </c>
      <c r="B198" s="39">
        <v>51600</v>
      </c>
      <c r="C198" s="36">
        <f t="shared" si="13"/>
        <v>0.16291666666666668</v>
      </c>
      <c r="D198" s="40">
        <f>97750/50000</f>
        <v>1.9550000000000001</v>
      </c>
      <c r="E198" s="39" t="s">
        <v>11</v>
      </c>
      <c r="F198" s="39" t="s">
        <v>11</v>
      </c>
    </row>
    <row r="199" spans="1:6">
      <c r="A199" s="41" t="s">
        <v>17</v>
      </c>
      <c r="B199" s="42">
        <v>51600</v>
      </c>
      <c r="C199" s="30" t="s">
        <v>28</v>
      </c>
      <c r="D199" s="43" t="s">
        <v>18</v>
      </c>
      <c r="E199" s="42" t="s">
        <v>11</v>
      </c>
      <c r="F199" s="42" t="s">
        <v>11</v>
      </c>
    </row>
    <row r="200" spans="1:6" s="123" customFormat="1">
      <c r="A200" s="120" t="s">
        <v>67</v>
      </c>
      <c r="B200" s="121" t="s">
        <v>18</v>
      </c>
      <c r="C200" s="30" t="s">
        <v>28</v>
      </c>
      <c r="D200" s="122" t="s">
        <v>18</v>
      </c>
      <c r="E200" s="121" t="s">
        <v>11</v>
      </c>
      <c r="F200" s="121" t="s">
        <v>11</v>
      </c>
    </row>
    <row r="202" spans="1:6">
      <c r="A202" s="52"/>
    </row>
    <row r="203" spans="1:6" ht="18.75">
      <c r="A203" s="15" t="s">
        <v>76</v>
      </c>
      <c r="C203" s="6" t="s">
        <v>77</v>
      </c>
    </row>
    <row r="204" spans="1:6" ht="18.75">
      <c r="A204" s="24" t="s">
        <v>35</v>
      </c>
    </row>
    <row r="205" spans="1:6">
      <c r="A205" s="33" t="s">
        <v>4</v>
      </c>
      <c r="B205" s="34" t="s">
        <v>5</v>
      </c>
      <c r="C205" s="34" t="s">
        <v>6</v>
      </c>
      <c r="D205" s="34" t="s">
        <v>7</v>
      </c>
      <c r="E205" s="34" t="s">
        <v>8</v>
      </c>
      <c r="F205" s="34" t="s">
        <v>9</v>
      </c>
    </row>
    <row r="206" spans="1:6">
      <c r="A206" s="35" t="s">
        <v>10</v>
      </c>
      <c r="B206" s="36">
        <v>51600</v>
      </c>
      <c r="C206" s="36">
        <f>D206/12</f>
        <v>1.0374999999999999</v>
      </c>
      <c r="D206" s="37">
        <f>24900/2000</f>
        <v>12.45</v>
      </c>
      <c r="E206" s="36" t="s">
        <v>11</v>
      </c>
      <c r="F206" s="36" t="s">
        <v>11</v>
      </c>
    </row>
    <row r="207" spans="1:6">
      <c r="A207" s="38" t="s">
        <v>12</v>
      </c>
      <c r="B207" s="39">
        <v>51600</v>
      </c>
      <c r="C207" s="36">
        <f t="shared" ref="C207:C211" si="14">D207/12</f>
        <v>0.66249999999999998</v>
      </c>
      <c r="D207" s="40">
        <f>31800/4000</f>
        <v>7.95</v>
      </c>
      <c r="E207" s="39" t="s">
        <v>11</v>
      </c>
      <c r="F207" s="39" t="s">
        <v>11</v>
      </c>
    </row>
    <row r="208" spans="1:6">
      <c r="A208" s="35" t="s">
        <v>13</v>
      </c>
      <c r="B208" s="36">
        <v>51600</v>
      </c>
      <c r="C208" s="36">
        <f t="shared" si="14"/>
        <v>0.40416666666666662</v>
      </c>
      <c r="D208" s="37">
        <f>38800/8000</f>
        <v>4.8499999999999996</v>
      </c>
      <c r="E208" s="36" t="s">
        <v>11</v>
      </c>
      <c r="F208" s="36" t="s">
        <v>11</v>
      </c>
    </row>
    <row r="209" spans="1:6">
      <c r="A209" s="38" t="s">
        <v>14</v>
      </c>
      <c r="B209" s="39">
        <v>51600</v>
      </c>
      <c r="C209" s="36">
        <f t="shared" si="14"/>
        <v>0.26277777777777778</v>
      </c>
      <c r="D209" s="40">
        <f>47300/15000</f>
        <v>3.1533333333333333</v>
      </c>
      <c r="E209" s="39" t="s">
        <v>11</v>
      </c>
      <c r="F209" s="39" t="s">
        <v>11</v>
      </c>
    </row>
    <row r="210" spans="1:6">
      <c r="A210" s="35" t="s">
        <v>15</v>
      </c>
      <c r="B210" s="36">
        <v>51600</v>
      </c>
      <c r="C210" s="36">
        <f t="shared" si="14"/>
        <v>0.18000000000000002</v>
      </c>
      <c r="D210" s="37">
        <f>54000/25000</f>
        <v>2.16</v>
      </c>
      <c r="E210" s="36" t="s">
        <v>11</v>
      </c>
      <c r="F210" s="36" t="s">
        <v>11</v>
      </c>
    </row>
    <row r="211" spans="1:6">
      <c r="A211" s="38" t="s">
        <v>16</v>
      </c>
      <c r="B211" s="39">
        <v>51600</v>
      </c>
      <c r="C211" s="36">
        <f t="shared" si="14"/>
        <v>0.10216666666666667</v>
      </c>
      <c r="D211" s="40">
        <f>61300/50000</f>
        <v>1.226</v>
      </c>
      <c r="E211" s="39" t="s">
        <v>11</v>
      </c>
      <c r="F211" s="39" t="s">
        <v>11</v>
      </c>
    </row>
    <row r="212" spans="1:6">
      <c r="A212" s="41" t="s">
        <v>17</v>
      </c>
      <c r="B212" s="42">
        <v>51600</v>
      </c>
      <c r="C212" s="30" t="s">
        <v>28</v>
      </c>
      <c r="D212" s="43" t="s">
        <v>18</v>
      </c>
      <c r="E212" s="42" t="s">
        <v>11</v>
      </c>
      <c r="F212" s="42" t="s">
        <v>11</v>
      </c>
    </row>
    <row r="213" spans="1:6" s="123" customFormat="1">
      <c r="A213" s="120" t="s">
        <v>67</v>
      </c>
      <c r="B213" s="121" t="s">
        <v>18</v>
      </c>
      <c r="C213" s="30" t="s">
        <v>28</v>
      </c>
      <c r="D213" s="122" t="s">
        <v>18</v>
      </c>
      <c r="E213" s="121" t="s">
        <v>11</v>
      </c>
      <c r="F213" s="121" t="s">
        <v>11</v>
      </c>
    </row>
    <row r="215" spans="1:6">
      <c r="A215" s="52"/>
    </row>
    <row r="216" spans="1:6" ht="18.75">
      <c r="A216" s="15" t="s">
        <v>78</v>
      </c>
    </row>
    <row r="217" spans="1:6" ht="18.75">
      <c r="A217" s="24" t="s">
        <v>35</v>
      </c>
    </row>
    <row r="218" spans="1:6">
      <c r="A218" s="33" t="s">
        <v>4</v>
      </c>
      <c r="B218" s="34" t="s">
        <v>5</v>
      </c>
      <c r="C218" s="34" t="s">
        <v>6</v>
      </c>
      <c r="D218" s="34" t="s">
        <v>7</v>
      </c>
      <c r="E218" s="34" t="s">
        <v>8</v>
      </c>
      <c r="F218" s="34" t="s">
        <v>9</v>
      </c>
    </row>
    <row r="219" spans="1:6">
      <c r="A219" s="35" t="s">
        <v>10</v>
      </c>
      <c r="B219" s="36">
        <v>51600</v>
      </c>
      <c r="C219" s="36">
        <f>D219/12</f>
        <v>5.7749999999999995</v>
      </c>
      <c r="D219" s="37">
        <f>138600/2000</f>
        <v>69.3</v>
      </c>
      <c r="E219" s="36" t="s">
        <v>11</v>
      </c>
      <c r="F219" s="36" t="s">
        <v>11</v>
      </c>
    </row>
    <row r="220" spans="1:6">
      <c r="A220" s="38" t="s">
        <v>12</v>
      </c>
      <c r="B220" s="39">
        <v>51600</v>
      </c>
      <c r="C220" s="36">
        <f t="shared" ref="C220:C224" si="15">D220/12</f>
        <v>3.4145833333333333</v>
      </c>
      <c r="D220" s="40">
        <f>163900/4000</f>
        <v>40.975000000000001</v>
      </c>
      <c r="E220" s="39" t="s">
        <v>11</v>
      </c>
      <c r="F220" s="39" t="s">
        <v>11</v>
      </c>
    </row>
    <row r="221" spans="1:6">
      <c r="A221" s="35" t="s">
        <v>13</v>
      </c>
      <c r="B221" s="36">
        <v>51600</v>
      </c>
      <c r="C221" s="36">
        <f t="shared" si="15"/>
        <v>2.2458333333333331</v>
      </c>
      <c r="D221" s="37">
        <f>215600/8000</f>
        <v>26.95</v>
      </c>
      <c r="E221" s="36" t="s">
        <v>11</v>
      </c>
      <c r="F221" s="36" t="s">
        <v>11</v>
      </c>
    </row>
    <row r="222" spans="1:6">
      <c r="A222" s="38" t="s">
        <v>14</v>
      </c>
      <c r="B222" s="39">
        <v>51600</v>
      </c>
      <c r="C222" s="36">
        <f t="shared" si="15"/>
        <v>1.67</v>
      </c>
      <c r="D222" s="40">
        <f>300600/15000</f>
        <v>20.04</v>
      </c>
      <c r="E222" s="39" t="s">
        <v>11</v>
      </c>
      <c r="F222" s="39" t="s">
        <v>11</v>
      </c>
    </row>
    <row r="223" spans="1:6">
      <c r="A223" s="35" t="s">
        <v>15</v>
      </c>
      <c r="B223" s="36">
        <v>51600</v>
      </c>
      <c r="C223" s="36">
        <f t="shared" si="15"/>
        <v>1.2506666666666666</v>
      </c>
      <c r="D223" s="37">
        <f>375200/25000</f>
        <v>15.007999999999999</v>
      </c>
      <c r="E223" s="36" t="s">
        <v>11</v>
      </c>
      <c r="F223" s="36" t="s">
        <v>11</v>
      </c>
    </row>
    <row r="224" spans="1:6">
      <c r="A224" s="38" t="s">
        <v>16</v>
      </c>
      <c r="B224" s="39">
        <v>51600</v>
      </c>
      <c r="C224" s="36">
        <f t="shared" si="15"/>
        <v>0.73749999999999993</v>
      </c>
      <c r="D224" s="40">
        <f>442500/50000</f>
        <v>8.85</v>
      </c>
      <c r="E224" s="39" t="s">
        <v>11</v>
      </c>
      <c r="F224" s="39" t="s">
        <v>11</v>
      </c>
    </row>
    <row r="225" spans="1:6">
      <c r="A225" s="41" t="s">
        <v>17</v>
      </c>
      <c r="B225" s="42">
        <v>51600</v>
      </c>
      <c r="C225" s="30" t="s">
        <v>28</v>
      </c>
      <c r="D225" s="43" t="s">
        <v>18</v>
      </c>
      <c r="E225" s="42" t="s">
        <v>11</v>
      </c>
      <c r="F225" s="42" t="s">
        <v>11</v>
      </c>
    </row>
    <row r="226" spans="1:6" s="123" customFormat="1">
      <c r="A226" s="120" t="s">
        <v>67</v>
      </c>
      <c r="B226" s="121" t="s">
        <v>18</v>
      </c>
      <c r="C226" s="30" t="s">
        <v>28</v>
      </c>
      <c r="D226" s="122" t="s">
        <v>18</v>
      </c>
      <c r="E226" s="121" t="s">
        <v>11</v>
      </c>
      <c r="F226" s="121" t="s">
        <v>11</v>
      </c>
    </row>
    <row r="228" spans="1:6">
      <c r="A228" s="52"/>
    </row>
    <row r="229" spans="1:6" ht="18.75">
      <c r="A229" s="15" t="s">
        <v>79</v>
      </c>
    </row>
    <row r="230" spans="1:6" ht="18.75">
      <c r="A230" s="24" t="s">
        <v>35</v>
      </c>
    </row>
    <row r="231" spans="1:6">
      <c r="A231" s="33" t="s">
        <v>4</v>
      </c>
      <c r="B231" s="34" t="s">
        <v>5</v>
      </c>
      <c r="C231" s="34" t="s">
        <v>6</v>
      </c>
      <c r="D231" s="34" t="s">
        <v>7</v>
      </c>
      <c r="E231" s="34" t="s">
        <v>8</v>
      </c>
      <c r="F231" s="34" t="s">
        <v>9</v>
      </c>
    </row>
    <row r="232" spans="1:6">
      <c r="A232" s="35" t="s">
        <v>10</v>
      </c>
      <c r="B232" s="36">
        <v>51600</v>
      </c>
      <c r="C232" s="36">
        <f>D232/12</f>
        <v>3.75</v>
      </c>
      <c r="D232" s="37">
        <f>90000/2000</f>
        <v>45</v>
      </c>
      <c r="E232" s="36" t="s">
        <v>11</v>
      </c>
      <c r="F232" s="36" t="s">
        <v>11</v>
      </c>
    </row>
    <row r="233" spans="1:6">
      <c r="A233" s="38" t="s">
        <v>12</v>
      </c>
      <c r="B233" s="39">
        <v>51600</v>
      </c>
      <c r="C233" s="36">
        <f t="shared" ref="C233:C237" si="16">D233/12</f>
        <v>2.2145833333333331</v>
      </c>
      <c r="D233" s="40">
        <f>106300/4000</f>
        <v>26.574999999999999</v>
      </c>
      <c r="E233" s="39" t="s">
        <v>11</v>
      </c>
      <c r="F233" s="39" t="s">
        <v>11</v>
      </c>
    </row>
    <row r="234" spans="1:6">
      <c r="A234" s="35" t="s">
        <v>13</v>
      </c>
      <c r="B234" s="36">
        <v>51600</v>
      </c>
      <c r="C234" s="36">
        <f t="shared" si="16"/>
        <v>1.4583333333333333</v>
      </c>
      <c r="D234" s="37">
        <f>140000/8000</f>
        <v>17.5</v>
      </c>
      <c r="E234" s="36" t="s">
        <v>11</v>
      </c>
      <c r="F234" s="36" t="s">
        <v>11</v>
      </c>
    </row>
    <row r="235" spans="1:6">
      <c r="A235" s="38" t="s">
        <v>14</v>
      </c>
      <c r="B235" s="39">
        <v>51600</v>
      </c>
      <c r="C235" s="36">
        <f t="shared" si="16"/>
        <v>1.0833333333333333</v>
      </c>
      <c r="D235" s="40">
        <f>195000/15000</f>
        <v>13</v>
      </c>
      <c r="E235" s="39" t="s">
        <v>11</v>
      </c>
      <c r="F235" s="39" t="s">
        <v>11</v>
      </c>
    </row>
    <row r="236" spans="1:6">
      <c r="A236" s="35" t="s">
        <v>15</v>
      </c>
      <c r="B236" s="36">
        <v>51600</v>
      </c>
      <c r="C236" s="36">
        <f t="shared" si="16"/>
        <v>0.81266666666666676</v>
      </c>
      <c r="D236" s="37">
        <f>243800/25000</f>
        <v>9.7520000000000007</v>
      </c>
      <c r="E236" s="36" t="s">
        <v>11</v>
      </c>
      <c r="F236" s="36" t="s">
        <v>11</v>
      </c>
    </row>
    <row r="237" spans="1:6">
      <c r="A237" s="38" t="s">
        <v>16</v>
      </c>
      <c r="B237" s="39">
        <v>51600</v>
      </c>
      <c r="C237" s="36">
        <f t="shared" si="16"/>
        <v>0.47916666666666669</v>
      </c>
      <c r="D237" s="40">
        <f>287500/50000</f>
        <v>5.75</v>
      </c>
      <c r="E237" s="39" t="s">
        <v>11</v>
      </c>
      <c r="F237" s="39" t="s">
        <v>11</v>
      </c>
    </row>
    <row r="238" spans="1:6">
      <c r="A238" s="41" t="s">
        <v>17</v>
      </c>
      <c r="B238" s="42">
        <v>51600</v>
      </c>
      <c r="C238" s="30" t="s">
        <v>28</v>
      </c>
      <c r="D238" s="43" t="s">
        <v>18</v>
      </c>
      <c r="E238" s="42" t="s">
        <v>11</v>
      </c>
      <c r="F238" s="42" t="s">
        <v>11</v>
      </c>
    </row>
    <row r="239" spans="1:6" s="123" customFormat="1">
      <c r="A239" s="120" t="s">
        <v>67</v>
      </c>
      <c r="B239" s="121" t="s">
        <v>18</v>
      </c>
      <c r="C239" s="30" t="s">
        <v>28</v>
      </c>
      <c r="D239" s="122" t="s">
        <v>18</v>
      </c>
      <c r="E239" s="121" t="s">
        <v>11</v>
      </c>
      <c r="F239" s="121" t="s">
        <v>11</v>
      </c>
    </row>
    <row r="241" spans="1:6">
      <c r="A241" s="52"/>
    </row>
    <row r="242" spans="1:6" ht="18.75">
      <c r="A242" s="15" t="s">
        <v>80</v>
      </c>
    </row>
    <row r="243" spans="1:6" ht="18.75">
      <c r="A243" s="24" t="s">
        <v>35</v>
      </c>
    </row>
    <row r="244" spans="1:6">
      <c r="A244" s="33" t="s">
        <v>4</v>
      </c>
      <c r="B244" s="34" t="s">
        <v>5</v>
      </c>
      <c r="C244" s="34" t="s">
        <v>6</v>
      </c>
      <c r="D244" s="34" t="s">
        <v>7</v>
      </c>
      <c r="E244" s="34" t="s">
        <v>8</v>
      </c>
      <c r="F244" s="34" t="s">
        <v>9</v>
      </c>
    </row>
    <row r="245" spans="1:6">
      <c r="A245" s="35" t="s">
        <v>10</v>
      </c>
      <c r="B245" s="36">
        <v>51600</v>
      </c>
      <c r="C245" s="36">
        <f>D245/12</f>
        <v>3.375</v>
      </c>
      <c r="D245" s="37">
        <f>81000/2000</f>
        <v>40.5</v>
      </c>
      <c r="E245" s="36" t="s">
        <v>11</v>
      </c>
      <c r="F245" s="36" t="s">
        <v>11</v>
      </c>
    </row>
    <row r="246" spans="1:6">
      <c r="A246" s="38" t="s">
        <v>12</v>
      </c>
      <c r="B246" s="39">
        <v>51600</v>
      </c>
      <c r="C246" s="36">
        <f t="shared" ref="C246:C250" si="17">D246/12</f>
        <v>1.9916666666666665</v>
      </c>
      <c r="D246" s="40">
        <f>95600/4000</f>
        <v>23.9</v>
      </c>
      <c r="E246" s="39" t="s">
        <v>11</v>
      </c>
      <c r="F246" s="39" t="s">
        <v>11</v>
      </c>
    </row>
    <row r="247" spans="1:6">
      <c r="A247" s="35" t="s">
        <v>13</v>
      </c>
      <c r="B247" s="36">
        <v>51600</v>
      </c>
      <c r="C247" s="36">
        <f t="shared" si="17"/>
        <v>1.3125</v>
      </c>
      <c r="D247" s="37">
        <f>126000/8000</f>
        <v>15.75</v>
      </c>
      <c r="E247" s="36" t="s">
        <v>11</v>
      </c>
      <c r="F247" s="36" t="s">
        <v>11</v>
      </c>
    </row>
    <row r="248" spans="1:6">
      <c r="A248" s="38" t="s">
        <v>14</v>
      </c>
      <c r="B248" s="39">
        <v>51600</v>
      </c>
      <c r="C248" s="36">
        <f t="shared" si="17"/>
        <v>0.97499999999999998</v>
      </c>
      <c r="D248" s="40">
        <f>175500/15000</f>
        <v>11.7</v>
      </c>
      <c r="E248" s="39" t="s">
        <v>11</v>
      </c>
      <c r="F248" s="39" t="s">
        <v>11</v>
      </c>
    </row>
    <row r="249" spans="1:6">
      <c r="A249" s="35" t="s">
        <v>15</v>
      </c>
      <c r="B249" s="36">
        <v>51600</v>
      </c>
      <c r="C249" s="36">
        <f t="shared" si="17"/>
        <v>0.73133333333333328</v>
      </c>
      <c r="D249" s="37">
        <f>219400/25000</f>
        <v>8.7759999999999998</v>
      </c>
      <c r="E249" s="36" t="s">
        <v>11</v>
      </c>
      <c r="F249" s="36" t="s">
        <v>11</v>
      </c>
    </row>
    <row r="250" spans="1:6">
      <c r="A250" s="38" t="s">
        <v>16</v>
      </c>
      <c r="B250" s="39">
        <v>51600</v>
      </c>
      <c r="C250" s="36">
        <f t="shared" si="17"/>
        <v>0.43133333333333335</v>
      </c>
      <c r="D250" s="40">
        <f>258800/50000</f>
        <v>5.1760000000000002</v>
      </c>
      <c r="E250" s="39" t="s">
        <v>11</v>
      </c>
      <c r="F250" s="39" t="s">
        <v>11</v>
      </c>
    </row>
    <row r="251" spans="1:6">
      <c r="A251" s="41" t="s">
        <v>17</v>
      </c>
      <c r="B251" s="42">
        <v>51600</v>
      </c>
      <c r="C251" s="30" t="s">
        <v>28</v>
      </c>
      <c r="D251" s="43" t="s">
        <v>18</v>
      </c>
      <c r="E251" s="42" t="s">
        <v>11</v>
      </c>
      <c r="F251" s="42" t="s">
        <v>11</v>
      </c>
    </row>
    <row r="252" spans="1:6" s="123" customFormat="1">
      <c r="A252" s="120" t="s">
        <v>67</v>
      </c>
      <c r="B252" s="121" t="s">
        <v>18</v>
      </c>
      <c r="C252" s="30" t="s">
        <v>28</v>
      </c>
      <c r="D252" s="122" t="s">
        <v>18</v>
      </c>
      <c r="E252" s="121" t="s">
        <v>11</v>
      </c>
      <c r="F252" s="121" t="s">
        <v>11</v>
      </c>
    </row>
    <row r="254" spans="1:6">
      <c r="A254" s="52"/>
    </row>
    <row r="255" spans="1:6" ht="18.75">
      <c r="A255" s="15" t="s">
        <v>81</v>
      </c>
    </row>
    <row r="256" spans="1:6" ht="18.75">
      <c r="A256" s="24" t="s">
        <v>35</v>
      </c>
    </row>
    <row r="257" spans="1:6">
      <c r="A257" s="33" t="s">
        <v>4</v>
      </c>
      <c r="B257" s="34" t="s">
        <v>5</v>
      </c>
      <c r="C257" s="34" t="s">
        <v>6</v>
      </c>
      <c r="D257" s="34" t="s">
        <v>7</v>
      </c>
      <c r="E257" s="34" t="s">
        <v>8</v>
      </c>
      <c r="F257" s="34" t="s">
        <v>9</v>
      </c>
    </row>
    <row r="258" spans="1:6">
      <c r="A258" s="35" t="s">
        <v>10</v>
      </c>
      <c r="B258" s="36">
        <v>51600</v>
      </c>
      <c r="C258" s="36">
        <f>D258/12</f>
        <v>3.1875</v>
      </c>
      <c r="D258" s="37">
        <f>76500/2000</f>
        <v>38.25</v>
      </c>
      <c r="E258" s="36" t="s">
        <v>11</v>
      </c>
      <c r="F258" s="36" t="s">
        <v>11</v>
      </c>
    </row>
    <row r="259" spans="1:6">
      <c r="A259" s="38" t="s">
        <v>12</v>
      </c>
      <c r="B259" s="39">
        <v>51600</v>
      </c>
      <c r="C259" s="36">
        <f t="shared" ref="C259:C263" si="18">D259/12</f>
        <v>1.8812499999999999</v>
      </c>
      <c r="D259" s="40">
        <f>90300/4000</f>
        <v>22.574999999999999</v>
      </c>
      <c r="E259" s="39" t="s">
        <v>11</v>
      </c>
      <c r="F259" s="39" t="s">
        <v>11</v>
      </c>
    </row>
    <row r="260" spans="1:6">
      <c r="A260" s="35" t="s">
        <v>13</v>
      </c>
      <c r="B260" s="36">
        <v>51600</v>
      </c>
      <c r="C260" s="36">
        <f t="shared" si="18"/>
        <v>1.2395833333333333</v>
      </c>
      <c r="D260" s="37">
        <f>119000/8000</f>
        <v>14.875</v>
      </c>
      <c r="E260" s="36" t="s">
        <v>11</v>
      </c>
      <c r="F260" s="36" t="s">
        <v>11</v>
      </c>
    </row>
    <row r="261" spans="1:6">
      <c r="A261" s="38" t="s">
        <v>14</v>
      </c>
      <c r="B261" s="39">
        <v>51600</v>
      </c>
      <c r="C261" s="36">
        <f t="shared" si="18"/>
        <v>0.9211111111111111</v>
      </c>
      <c r="D261" s="40">
        <f>165800/15000</f>
        <v>11.053333333333333</v>
      </c>
      <c r="E261" s="39" t="s">
        <v>11</v>
      </c>
      <c r="F261" s="39" t="s">
        <v>11</v>
      </c>
    </row>
    <row r="262" spans="1:6">
      <c r="A262" s="35" t="s">
        <v>15</v>
      </c>
      <c r="B262" s="36">
        <v>51600</v>
      </c>
      <c r="C262" s="36">
        <f t="shared" si="18"/>
        <v>0.69066666666666665</v>
      </c>
      <c r="D262" s="37">
        <f>207200/25000</f>
        <v>8.2880000000000003</v>
      </c>
      <c r="E262" s="36" t="s">
        <v>11</v>
      </c>
      <c r="F262" s="36" t="s">
        <v>11</v>
      </c>
    </row>
    <row r="263" spans="1:6">
      <c r="A263" s="38" t="s">
        <v>16</v>
      </c>
      <c r="B263" s="39">
        <v>51600</v>
      </c>
      <c r="C263" s="36">
        <f t="shared" si="18"/>
        <v>0.40666666666666668</v>
      </c>
      <c r="D263" s="40">
        <f>244000/50000</f>
        <v>4.88</v>
      </c>
      <c r="E263" s="39" t="s">
        <v>11</v>
      </c>
      <c r="F263" s="39" t="s">
        <v>11</v>
      </c>
    </row>
    <row r="264" spans="1:6">
      <c r="A264" s="41" t="s">
        <v>17</v>
      </c>
      <c r="B264" s="42">
        <v>51600</v>
      </c>
      <c r="C264" s="30" t="s">
        <v>28</v>
      </c>
      <c r="D264" s="43" t="s">
        <v>18</v>
      </c>
      <c r="E264" s="42" t="s">
        <v>11</v>
      </c>
      <c r="F264" s="42" t="s">
        <v>11</v>
      </c>
    </row>
    <row r="265" spans="1:6" s="123" customFormat="1">
      <c r="A265" s="120" t="s">
        <v>67</v>
      </c>
      <c r="B265" s="121" t="s">
        <v>18</v>
      </c>
      <c r="C265" s="30" t="s">
        <v>28</v>
      </c>
      <c r="D265" s="122" t="s">
        <v>18</v>
      </c>
      <c r="E265" s="121" t="s">
        <v>11</v>
      </c>
      <c r="F265" s="121" t="s">
        <v>11</v>
      </c>
    </row>
    <row r="267" spans="1:6">
      <c r="A267" s="52"/>
    </row>
    <row r="268" spans="1:6" ht="18.75">
      <c r="A268" s="15" t="s">
        <v>82</v>
      </c>
      <c r="C268" s="6" t="s">
        <v>73</v>
      </c>
    </row>
    <row r="269" spans="1:6" ht="18.75">
      <c r="A269" s="24" t="s">
        <v>35</v>
      </c>
      <c r="E269" s="6" t="s">
        <v>74</v>
      </c>
    </row>
    <row r="270" spans="1:6">
      <c r="A270" s="33" t="s">
        <v>4</v>
      </c>
      <c r="B270" s="34" t="s">
        <v>5</v>
      </c>
      <c r="C270" s="34" t="s">
        <v>6</v>
      </c>
      <c r="D270" s="34" t="s">
        <v>7</v>
      </c>
      <c r="E270" s="34" t="s">
        <v>8</v>
      </c>
      <c r="F270" s="34" t="s">
        <v>9</v>
      </c>
    </row>
    <row r="271" spans="1:6">
      <c r="A271" s="35" t="s">
        <v>10</v>
      </c>
      <c r="B271" s="36">
        <v>25000</v>
      </c>
      <c r="C271" s="36">
        <f>D271/12</f>
        <v>3.375</v>
      </c>
      <c r="D271" s="37">
        <f>81000/2000</f>
        <v>40.5</v>
      </c>
      <c r="E271" s="36" t="s">
        <v>11</v>
      </c>
      <c r="F271" s="36" t="s">
        <v>11</v>
      </c>
    </row>
    <row r="272" spans="1:6">
      <c r="A272" s="38" t="s">
        <v>12</v>
      </c>
      <c r="B272" s="39">
        <v>25000</v>
      </c>
      <c r="C272" s="36">
        <f t="shared" ref="C272:C276" si="19">D272/12</f>
        <v>2</v>
      </c>
      <c r="D272" s="40">
        <f>96000/4000</f>
        <v>24</v>
      </c>
      <c r="E272" s="39" t="s">
        <v>11</v>
      </c>
      <c r="F272" s="39" t="s">
        <v>11</v>
      </c>
    </row>
    <row r="273" spans="1:6">
      <c r="A273" s="35" t="s">
        <v>13</v>
      </c>
      <c r="B273" s="36">
        <v>25000</v>
      </c>
      <c r="C273" s="36">
        <f t="shared" si="19"/>
        <v>1.3125</v>
      </c>
      <c r="D273" s="37">
        <f>126000/8000</f>
        <v>15.75</v>
      </c>
      <c r="E273" s="36" t="s">
        <v>11</v>
      </c>
      <c r="F273" s="36" t="s">
        <v>11</v>
      </c>
    </row>
    <row r="274" spans="1:6">
      <c r="A274" s="38" t="s">
        <v>14</v>
      </c>
      <c r="B274" s="39">
        <v>25000</v>
      </c>
      <c r="C274" s="36">
        <f t="shared" si="19"/>
        <v>0.97777777777777775</v>
      </c>
      <c r="D274" s="40">
        <f>176000/15000</f>
        <v>11.733333333333333</v>
      </c>
      <c r="E274" s="39" t="s">
        <v>11</v>
      </c>
      <c r="F274" s="39" t="s">
        <v>11</v>
      </c>
    </row>
    <row r="275" spans="1:6">
      <c r="A275" s="35" t="s">
        <v>15</v>
      </c>
      <c r="B275" s="36">
        <v>25000</v>
      </c>
      <c r="C275" s="36">
        <f t="shared" si="19"/>
        <v>0.73</v>
      </c>
      <c r="D275" s="37">
        <f>219000/25000</f>
        <v>8.76</v>
      </c>
      <c r="E275" s="36" t="s">
        <v>11</v>
      </c>
      <c r="F275" s="36" t="s">
        <v>11</v>
      </c>
    </row>
    <row r="276" spans="1:6">
      <c r="A276" s="38" t="s">
        <v>16</v>
      </c>
      <c r="B276" s="39">
        <v>25000</v>
      </c>
      <c r="C276" s="36">
        <f t="shared" si="19"/>
        <v>0.43166666666666664</v>
      </c>
      <c r="D276" s="40">
        <f>259000/50000</f>
        <v>5.18</v>
      </c>
      <c r="E276" s="39" t="s">
        <v>11</v>
      </c>
      <c r="F276" s="39" t="s">
        <v>11</v>
      </c>
    </row>
    <row r="277" spans="1:6">
      <c r="A277" s="41" t="s">
        <v>17</v>
      </c>
      <c r="B277" s="42">
        <v>25000</v>
      </c>
      <c r="C277" s="30" t="s">
        <v>28</v>
      </c>
      <c r="D277" s="43" t="s">
        <v>18</v>
      </c>
      <c r="E277" s="42" t="s">
        <v>11</v>
      </c>
      <c r="F277" s="42" t="s">
        <v>11</v>
      </c>
    </row>
    <row r="278" spans="1:6" s="123" customFormat="1">
      <c r="A278" s="120" t="s">
        <v>67</v>
      </c>
      <c r="B278" s="121" t="s">
        <v>18</v>
      </c>
      <c r="C278" s="30" t="s">
        <v>28</v>
      </c>
      <c r="D278" s="122" t="s">
        <v>18</v>
      </c>
      <c r="E278" s="121" t="s">
        <v>11</v>
      </c>
      <c r="F278" s="121" t="s">
        <v>11</v>
      </c>
    </row>
    <row r="280" spans="1:6">
      <c r="A280" s="52"/>
    </row>
    <row r="281" spans="1:6" ht="18.75">
      <c r="A281" s="15" t="s">
        <v>83</v>
      </c>
    </row>
    <row r="282" spans="1:6" ht="18.75">
      <c r="A282" s="24" t="s">
        <v>35</v>
      </c>
    </row>
    <row r="283" spans="1:6">
      <c r="A283" s="33" t="s">
        <v>4</v>
      </c>
      <c r="B283" s="34" t="s">
        <v>5</v>
      </c>
      <c r="C283" s="34" t="s">
        <v>6</v>
      </c>
      <c r="D283" s="34" t="s">
        <v>7</v>
      </c>
      <c r="E283" s="34" t="s">
        <v>8</v>
      </c>
      <c r="F283" s="34" t="s">
        <v>9</v>
      </c>
    </row>
    <row r="284" spans="1:6">
      <c r="A284" s="35" t="s">
        <v>10</v>
      </c>
      <c r="B284" s="36">
        <v>51600</v>
      </c>
      <c r="C284" s="36">
        <f>D284/12</f>
        <v>3.1875</v>
      </c>
      <c r="D284" s="37">
        <f>76500/2000</f>
        <v>38.25</v>
      </c>
      <c r="E284" s="36" t="s">
        <v>11</v>
      </c>
      <c r="F284" s="36" t="s">
        <v>11</v>
      </c>
    </row>
    <row r="285" spans="1:6">
      <c r="A285" s="38" t="s">
        <v>12</v>
      </c>
      <c r="B285" s="39">
        <v>51600</v>
      </c>
      <c r="C285" s="36">
        <f t="shared" ref="C285:C289" si="20">D285/12</f>
        <v>1.8812499999999999</v>
      </c>
      <c r="D285" s="40">
        <f>90300/4000</f>
        <v>22.574999999999999</v>
      </c>
      <c r="E285" s="39" t="s">
        <v>11</v>
      </c>
      <c r="F285" s="39" t="s">
        <v>11</v>
      </c>
    </row>
    <row r="286" spans="1:6">
      <c r="A286" s="35" t="s">
        <v>13</v>
      </c>
      <c r="B286" s="36">
        <v>51600</v>
      </c>
      <c r="C286" s="36">
        <f t="shared" si="20"/>
        <v>1.2395833333333333</v>
      </c>
      <c r="D286" s="37">
        <f>119000/8000</f>
        <v>14.875</v>
      </c>
      <c r="E286" s="36" t="s">
        <v>11</v>
      </c>
      <c r="F286" s="36" t="s">
        <v>11</v>
      </c>
    </row>
    <row r="287" spans="1:6">
      <c r="A287" s="38" t="s">
        <v>14</v>
      </c>
      <c r="B287" s="39">
        <v>51600</v>
      </c>
      <c r="C287" s="36">
        <f t="shared" si="20"/>
        <v>0.9211111111111111</v>
      </c>
      <c r="D287" s="40">
        <f>165800/15000</f>
        <v>11.053333333333333</v>
      </c>
      <c r="E287" s="39" t="s">
        <v>11</v>
      </c>
      <c r="F287" s="39" t="s">
        <v>11</v>
      </c>
    </row>
    <row r="288" spans="1:6">
      <c r="A288" s="35" t="s">
        <v>15</v>
      </c>
      <c r="B288" s="36">
        <v>51600</v>
      </c>
      <c r="C288" s="36">
        <f t="shared" si="20"/>
        <v>0.69066666666666665</v>
      </c>
      <c r="D288" s="37">
        <f>207200/25000</f>
        <v>8.2880000000000003</v>
      </c>
      <c r="E288" s="36" t="s">
        <v>11</v>
      </c>
      <c r="F288" s="36" t="s">
        <v>11</v>
      </c>
    </row>
    <row r="289" spans="1:6">
      <c r="A289" s="38" t="s">
        <v>16</v>
      </c>
      <c r="B289" s="39">
        <v>51600</v>
      </c>
      <c r="C289" s="36">
        <f t="shared" si="20"/>
        <v>0.40666666666666668</v>
      </c>
      <c r="D289" s="40">
        <f>244000/50000</f>
        <v>4.88</v>
      </c>
      <c r="E289" s="39" t="s">
        <v>11</v>
      </c>
      <c r="F289" s="39" t="s">
        <v>11</v>
      </c>
    </row>
    <row r="290" spans="1:6">
      <c r="A290" s="41" t="s">
        <v>17</v>
      </c>
      <c r="B290" s="42">
        <v>51600</v>
      </c>
      <c r="C290" s="30" t="s">
        <v>28</v>
      </c>
      <c r="D290" s="43" t="s">
        <v>18</v>
      </c>
      <c r="E290" s="42" t="s">
        <v>11</v>
      </c>
      <c r="F290" s="42" t="s">
        <v>11</v>
      </c>
    </row>
    <row r="291" spans="1:6" s="123" customFormat="1">
      <c r="A291" s="120" t="s">
        <v>67</v>
      </c>
      <c r="B291" s="121" t="s">
        <v>18</v>
      </c>
      <c r="C291" s="30" t="s">
        <v>28</v>
      </c>
      <c r="D291" s="122" t="s">
        <v>18</v>
      </c>
      <c r="E291" s="121" t="s">
        <v>11</v>
      </c>
      <c r="F291" s="121" t="s">
        <v>11</v>
      </c>
    </row>
    <row r="293" spans="1:6">
      <c r="A293" s="52"/>
    </row>
    <row r="294" spans="1:6" ht="18.75">
      <c r="A294" s="15" t="s">
        <v>84</v>
      </c>
    </row>
    <row r="295" spans="1:6" ht="18.75">
      <c r="A295" s="24" t="s">
        <v>35</v>
      </c>
    </row>
    <row r="296" spans="1:6">
      <c r="A296" s="33" t="s">
        <v>4</v>
      </c>
      <c r="B296" s="34" t="s">
        <v>5</v>
      </c>
      <c r="C296" s="34" t="s">
        <v>6</v>
      </c>
      <c r="D296" s="34" t="s">
        <v>7</v>
      </c>
      <c r="E296" s="34" t="s">
        <v>8</v>
      </c>
      <c r="F296" s="34" t="s">
        <v>9</v>
      </c>
    </row>
    <row r="297" spans="1:6">
      <c r="A297" s="35" t="s">
        <v>10</v>
      </c>
      <c r="B297" s="36">
        <v>51600</v>
      </c>
      <c r="C297" s="36">
        <f>D297/12</f>
        <v>3.1125000000000003</v>
      </c>
      <c r="D297" s="37">
        <f>74700/2000</f>
        <v>37.35</v>
      </c>
      <c r="E297" s="36" t="s">
        <v>11</v>
      </c>
      <c r="F297" s="36" t="s">
        <v>11</v>
      </c>
    </row>
    <row r="298" spans="1:6">
      <c r="A298" s="38" t="s">
        <v>12</v>
      </c>
      <c r="B298" s="39">
        <v>51600</v>
      </c>
      <c r="C298" s="36">
        <f t="shared" ref="C298:C302" si="21">D298/12</f>
        <v>1.9875</v>
      </c>
      <c r="D298" s="40">
        <f>95400/4000</f>
        <v>23.85</v>
      </c>
      <c r="E298" s="39" t="s">
        <v>11</v>
      </c>
      <c r="F298" s="39" t="s">
        <v>11</v>
      </c>
    </row>
    <row r="299" spans="1:6">
      <c r="A299" s="35" t="s">
        <v>13</v>
      </c>
      <c r="B299" s="36">
        <v>51600</v>
      </c>
      <c r="C299" s="36">
        <f t="shared" si="21"/>
        <v>1.2125000000000001</v>
      </c>
      <c r="D299" s="37">
        <f>116400/8000</f>
        <v>14.55</v>
      </c>
      <c r="E299" s="36" t="s">
        <v>11</v>
      </c>
      <c r="F299" s="36" t="s">
        <v>11</v>
      </c>
    </row>
    <row r="300" spans="1:6">
      <c r="A300" s="38" t="s">
        <v>14</v>
      </c>
      <c r="B300" s="39">
        <v>51600</v>
      </c>
      <c r="C300" s="36">
        <f t="shared" si="21"/>
        <v>0.78833333333333344</v>
      </c>
      <c r="D300" s="40">
        <f>141900/15000</f>
        <v>9.4600000000000009</v>
      </c>
      <c r="E300" s="39" t="s">
        <v>11</v>
      </c>
      <c r="F300" s="39" t="s">
        <v>11</v>
      </c>
    </row>
    <row r="301" spans="1:6">
      <c r="A301" s="35" t="s">
        <v>15</v>
      </c>
      <c r="B301" s="36">
        <v>51600</v>
      </c>
      <c r="C301" s="36">
        <f t="shared" si="21"/>
        <v>0.54</v>
      </c>
      <c r="D301" s="37">
        <f>162000/25000</f>
        <v>6.48</v>
      </c>
      <c r="E301" s="36" t="s">
        <v>11</v>
      </c>
      <c r="F301" s="36" t="s">
        <v>11</v>
      </c>
    </row>
    <row r="302" spans="1:6">
      <c r="A302" s="38" t="s">
        <v>16</v>
      </c>
      <c r="B302" s="39">
        <v>51600</v>
      </c>
      <c r="C302" s="36">
        <f t="shared" si="21"/>
        <v>0.3066666666666667</v>
      </c>
      <c r="D302" s="40">
        <f>184000/50000</f>
        <v>3.68</v>
      </c>
      <c r="E302" s="39" t="s">
        <v>11</v>
      </c>
      <c r="F302" s="39" t="s">
        <v>11</v>
      </c>
    </row>
    <row r="303" spans="1:6">
      <c r="A303" s="41" t="s">
        <v>17</v>
      </c>
      <c r="B303" s="42">
        <v>51600</v>
      </c>
      <c r="C303" s="30" t="s">
        <v>28</v>
      </c>
      <c r="D303" s="43" t="s">
        <v>18</v>
      </c>
      <c r="E303" s="42" t="s">
        <v>11</v>
      </c>
      <c r="F303" s="42" t="s">
        <v>11</v>
      </c>
    </row>
    <row r="304" spans="1:6" s="123" customFormat="1">
      <c r="A304" s="120" t="s">
        <v>67</v>
      </c>
      <c r="B304" s="121" t="s">
        <v>18</v>
      </c>
      <c r="C304" s="30" t="s">
        <v>28</v>
      </c>
      <c r="D304" s="122" t="s">
        <v>18</v>
      </c>
      <c r="E304" s="121" t="s">
        <v>11</v>
      </c>
      <c r="F304" s="121" t="s">
        <v>11</v>
      </c>
    </row>
    <row r="306" spans="1:6" ht="18.75">
      <c r="A306" s="15" t="s">
        <v>85</v>
      </c>
    </row>
    <row r="307" spans="1:6" ht="18.75">
      <c r="A307" s="24" t="s">
        <v>35</v>
      </c>
    </row>
    <row r="308" spans="1:6">
      <c r="A308" s="33" t="s">
        <v>4</v>
      </c>
      <c r="B308" s="34" t="s">
        <v>5</v>
      </c>
      <c r="C308" s="34" t="s">
        <v>6</v>
      </c>
      <c r="D308" s="34" t="s">
        <v>7</v>
      </c>
      <c r="E308" s="34" t="s">
        <v>8</v>
      </c>
      <c r="F308" s="34" t="s">
        <v>9</v>
      </c>
    </row>
    <row r="309" spans="1:6">
      <c r="A309" s="35" t="s">
        <v>10</v>
      </c>
      <c r="B309" s="36" t="s">
        <v>11</v>
      </c>
      <c r="C309" s="36">
        <f>D309/12</f>
        <v>1.5166666666666666</v>
      </c>
      <c r="D309" s="37">
        <f>36400/2000</f>
        <v>18.2</v>
      </c>
      <c r="E309" s="36" t="s">
        <v>11</v>
      </c>
      <c r="F309" s="36" t="s">
        <v>11</v>
      </c>
    </row>
    <row r="310" spans="1:6">
      <c r="A310" s="38" t="s">
        <v>12</v>
      </c>
      <c r="B310" s="110" t="s">
        <v>11</v>
      </c>
      <c r="C310" s="36">
        <f t="shared" ref="C310:C317" si="22">D310/12</f>
        <v>0.82708333333333339</v>
      </c>
      <c r="D310" s="40">
        <f>39700/4000</f>
        <v>9.9250000000000007</v>
      </c>
      <c r="E310" s="39" t="s">
        <v>11</v>
      </c>
      <c r="F310" s="39" t="s">
        <v>11</v>
      </c>
    </row>
    <row r="311" spans="1:6">
      <c r="A311" s="35" t="s">
        <v>13</v>
      </c>
      <c r="B311" s="36" t="s">
        <v>11</v>
      </c>
      <c r="C311" s="36">
        <f t="shared" si="22"/>
        <v>0.44687499999999997</v>
      </c>
      <c r="D311" s="37">
        <f>42900/8000</f>
        <v>5.3624999999999998</v>
      </c>
      <c r="E311" s="36" t="s">
        <v>11</v>
      </c>
      <c r="F311" s="36" t="s">
        <v>11</v>
      </c>
    </row>
    <row r="312" spans="1:6">
      <c r="A312" s="38" t="s">
        <v>14</v>
      </c>
      <c r="B312" s="110" t="s">
        <v>11</v>
      </c>
      <c r="C312" s="36">
        <f t="shared" si="22"/>
        <v>0.26111111111111113</v>
      </c>
      <c r="D312" s="40">
        <f>47000/15000</f>
        <v>3.1333333333333333</v>
      </c>
      <c r="E312" s="39" t="s">
        <v>11</v>
      </c>
      <c r="F312" s="39" t="s">
        <v>11</v>
      </c>
    </row>
    <row r="313" spans="1:6">
      <c r="A313" s="35" t="s">
        <v>15</v>
      </c>
      <c r="B313" s="36" t="s">
        <v>11</v>
      </c>
      <c r="C313" s="36">
        <f t="shared" si="22"/>
        <v>0.17066666666666666</v>
      </c>
      <c r="D313" s="37">
        <f>51200/25000</f>
        <v>2.048</v>
      </c>
      <c r="E313" s="36" t="s">
        <v>11</v>
      </c>
      <c r="F313" s="36" t="s">
        <v>11</v>
      </c>
    </row>
    <row r="314" spans="1:6">
      <c r="A314" s="38" t="s">
        <v>16</v>
      </c>
      <c r="B314" s="110" t="s">
        <v>11</v>
      </c>
      <c r="C314" s="36">
        <f t="shared" si="22"/>
        <v>9.2166666666666675E-2</v>
      </c>
      <c r="D314" s="40">
        <f>55300/50000</f>
        <v>1.1060000000000001</v>
      </c>
      <c r="E314" s="39" t="s">
        <v>11</v>
      </c>
      <c r="F314" s="39" t="s">
        <v>11</v>
      </c>
    </row>
    <row r="315" spans="1:6">
      <c r="A315" s="41" t="s">
        <v>17</v>
      </c>
      <c r="B315" s="36" t="s">
        <v>11</v>
      </c>
      <c r="C315" s="30" t="s">
        <v>28</v>
      </c>
      <c r="D315" s="43" t="s">
        <v>18</v>
      </c>
      <c r="E315" s="42" t="s">
        <v>11</v>
      </c>
      <c r="F315" s="42" t="s">
        <v>11</v>
      </c>
    </row>
    <row r="316" spans="1:6">
      <c r="A316" s="38" t="s">
        <v>86</v>
      </c>
      <c r="B316" s="110" t="s">
        <v>11</v>
      </c>
      <c r="C316" s="36">
        <f t="shared" si="22"/>
        <v>1100</v>
      </c>
      <c r="D316" s="40">
        <v>13200</v>
      </c>
      <c r="E316" s="39" t="s">
        <v>11</v>
      </c>
      <c r="F316" s="39" t="s">
        <v>11</v>
      </c>
    </row>
    <row r="317" spans="1:6">
      <c r="A317" s="35" t="s">
        <v>87</v>
      </c>
      <c r="B317" s="36" t="s">
        <v>11</v>
      </c>
      <c r="C317" s="36">
        <f t="shared" si="22"/>
        <v>733.33333333333337</v>
      </c>
      <c r="D317" s="37">
        <v>8800</v>
      </c>
      <c r="E317" s="36" t="s">
        <v>11</v>
      </c>
      <c r="F317" s="36" t="s">
        <v>11</v>
      </c>
    </row>
    <row r="318" spans="1:6">
      <c r="A318" s="52"/>
    </row>
    <row r="319" spans="1:6" ht="18.75">
      <c r="A319" s="15" t="s">
        <v>88</v>
      </c>
    </row>
    <row r="320" spans="1:6" ht="18.75">
      <c r="A320" s="24" t="s">
        <v>35</v>
      </c>
    </row>
    <row r="321" spans="1:7">
      <c r="A321" s="33" t="s">
        <v>89</v>
      </c>
      <c r="B321" s="34" t="s">
        <v>90</v>
      </c>
      <c r="C321" s="34" t="s">
        <v>91</v>
      </c>
      <c r="D321" s="34" t="s">
        <v>92</v>
      </c>
      <c r="E321" s="34" t="s">
        <v>93</v>
      </c>
      <c r="F321" s="34" t="s">
        <v>94</v>
      </c>
      <c r="G321" s="34" t="s">
        <v>95</v>
      </c>
    </row>
    <row r="322" spans="1:7">
      <c r="A322" s="35" t="s">
        <v>96</v>
      </c>
      <c r="B322" s="140">
        <v>0</v>
      </c>
      <c r="C322" s="140">
        <v>2</v>
      </c>
      <c r="D322" s="140">
        <v>5</v>
      </c>
      <c r="E322" s="140">
        <v>10</v>
      </c>
      <c r="F322" s="140">
        <v>20</v>
      </c>
      <c r="G322" s="140"/>
    </row>
    <row r="323" spans="1:7">
      <c r="A323" s="38" t="s">
        <v>97</v>
      </c>
      <c r="B323" s="141">
        <v>30</v>
      </c>
      <c r="C323" s="141">
        <v>50</v>
      </c>
      <c r="D323" s="141">
        <v>100</v>
      </c>
      <c r="E323" s="141">
        <v>200</v>
      </c>
      <c r="F323" s="141">
        <v>500</v>
      </c>
      <c r="G323" s="141" t="s">
        <v>98</v>
      </c>
    </row>
    <row r="324" spans="1:7">
      <c r="A324" s="38" t="s">
        <v>99</v>
      </c>
      <c r="B324" s="40" t="s">
        <v>100</v>
      </c>
      <c r="C324" s="39">
        <v>10000</v>
      </c>
      <c r="D324" s="39">
        <v>20000</v>
      </c>
      <c r="E324" s="39">
        <v>40000</v>
      </c>
      <c r="F324" s="39">
        <v>80000</v>
      </c>
      <c r="G324" s="141" t="s">
        <v>11</v>
      </c>
    </row>
    <row r="325" spans="1:7">
      <c r="A325" s="142" t="s">
        <v>101</v>
      </c>
      <c r="B325" s="37"/>
      <c r="C325" s="36"/>
      <c r="D325" s="37"/>
      <c r="E325" s="36"/>
      <c r="F325" s="36"/>
      <c r="G325" s="36"/>
    </row>
    <row r="326" spans="1:7">
      <c r="A326" s="38" t="s">
        <v>102</v>
      </c>
      <c r="B326" s="40" t="s">
        <v>103</v>
      </c>
      <c r="C326" s="39" t="s">
        <v>104</v>
      </c>
      <c r="D326" s="39" t="s">
        <v>104</v>
      </c>
      <c r="E326" s="39" t="s">
        <v>104</v>
      </c>
      <c r="F326" s="39" t="s">
        <v>105</v>
      </c>
      <c r="G326" s="39" t="s">
        <v>106</v>
      </c>
    </row>
    <row r="327" spans="1:7">
      <c r="A327" s="35" t="s">
        <v>107</v>
      </c>
      <c r="B327" s="37" t="s">
        <v>108</v>
      </c>
      <c r="C327" s="36">
        <v>800</v>
      </c>
      <c r="D327" s="36">
        <v>800</v>
      </c>
      <c r="E327" s="36">
        <v>800</v>
      </c>
      <c r="F327" s="36">
        <v>800</v>
      </c>
      <c r="G327" s="36">
        <v>800</v>
      </c>
    </row>
    <row r="328" spans="1:7">
      <c r="A328" s="38" t="s">
        <v>109</v>
      </c>
      <c r="B328" s="40" t="s">
        <v>18</v>
      </c>
      <c r="C328" s="40" t="s">
        <v>18</v>
      </c>
      <c r="D328" s="40" t="s">
        <v>18</v>
      </c>
      <c r="E328" s="40" t="s">
        <v>18</v>
      </c>
      <c r="F328" s="40" t="s">
        <v>18</v>
      </c>
      <c r="G328" s="40" t="s">
        <v>18</v>
      </c>
    </row>
    <row r="329" spans="1:7">
      <c r="A329" s="41" t="s">
        <v>110</v>
      </c>
      <c r="B329" s="43" t="s">
        <v>18</v>
      </c>
      <c r="C329" s="43" t="s">
        <v>18</v>
      </c>
      <c r="D329" s="43" t="s">
        <v>18</v>
      </c>
      <c r="E329" s="43" t="s">
        <v>18</v>
      </c>
      <c r="F329" s="43" t="s">
        <v>18</v>
      </c>
      <c r="G329" s="43" t="s">
        <v>18</v>
      </c>
    </row>
    <row r="330" spans="1:7">
      <c r="A330" s="38" t="s">
        <v>111</v>
      </c>
      <c r="B330" s="40">
        <v>16000</v>
      </c>
      <c r="C330" s="40">
        <v>16000</v>
      </c>
      <c r="D330" s="40">
        <v>16000</v>
      </c>
      <c r="E330" s="40">
        <v>16000</v>
      </c>
      <c r="F330" s="40">
        <v>16000</v>
      </c>
      <c r="G330" s="40">
        <v>16000</v>
      </c>
    </row>
    <row r="331" spans="1:7">
      <c r="A331" s="35" t="s">
        <v>112</v>
      </c>
      <c r="B331" s="37" t="s">
        <v>113</v>
      </c>
      <c r="C331" s="37" t="s">
        <v>113</v>
      </c>
      <c r="D331" s="37" t="s">
        <v>113</v>
      </c>
      <c r="E331" s="37" t="s">
        <v>113</v>
      </c>
      <c r="F331" s="37" t="s">
        <v>113</v>
      </c>
      <c r="G331" s="37" t="s">
        <v>113</v>
      </c>
    </row>
    <row r="332" spans="1:7" s="123" customFormat="1">
      <c r="A332" s="120" t="s">
        <v>114</v>
      </c>
      <c r="B332" s="122">
        <v>10000</v>
      </c>
      <c r="C332" s="122">
        <v>10000</v>
      </c>
      <c r="D332" s="122">
        <v>10000</v>
      </c>
      <c r="E332" s="122">
        <v>10000</v>
      </c>
      <c r="F332" s="122">
        <v>10000</v>
      </c>
      <c r="G332" s="122">
        <v>10000</v>
      </c>
    </row>
    <row r="333" spans="1:7">
      <c r="A333" s="52"/>
    </row>
    <row r="334" spans="1:7" ht="18.75">
      <c r="A334" s="15" t="s">
        <v>115</v>
      </c>
    </row>
    <row r="335" spans="1:7" ht="18.75">
      <c r="A335" s="24" t="s">
        <v>35</v>
      </c>
    </row>
    <row r="336" spans="1:7">
      <c r="A336" s="33" t="s">
        <v>4</v>
      </c>
      <c r="B336" s="34" t="s">
        <v>5</v>
      </c>
      <c r="C336" s="34" t="s">
        <v>6</v>
      </c>
      <c r="D336" s="34" t="s">
        <v>7</v>
      </c>
      <c r="E336" s="34" t="s">
        <v>8</v>
      </c>
      <c r="F336" s="34" t="s">
        <v>9</v>
      </c>
    </row>
    <row r="337" spans="1:6">
      <c r="A337" s="35" t="s">
        <v>10</v>
      </c>
      <c r="B337" s="36">
        <v>2500</v>
      </c>
      <c r="C337" s="36">
        <f>D337/12</f>
        <v>0.76046874999999992</v>
      </c>
      <c r="D337" s="37">
        <f>18251.25/2000</f>
        <v>9.1256249999999994</v>
      </c>
      <c r="E337" s="36" t="s">
        <v>11</v>
      </c>
      <c r="F337" s="36" t="s">
        <v>11</v>
      </c>
    </row>
    <row r="338" spans="1:6">
      <c r="A338" s="38" t="s">
        <v>12</v>
      </c>
      <c r="B338" s="45">
        <v>2500</v>
      </c>
      <c r="C338" s="36">
        <f t="shared" ref="C338:C346" si="23">D338/12</f>
        <v>0.48783624999999997</v>
      </c>
      <c r="D338" s="40">
        <f>23416.14/4000</f>
        <v>5.8540349999999997</v>
      </c>
      <c r="E338" s="39" t="s">
        <v>11</v>
      </c>
      <c r="F338" s="39" t="s">
        <v>11</v>
      </c>
    </row>
    <row r="339" spans="1:6">
      <c r="A339" s="35" t="s">
        <v>13</v>
      </c>
      <c r="B339" s="36">
        <v>2500</v>
      </c>
      <c r="C339" s="36">
        <f t="shared" si="23"/>
        <v>0.31359510416666669</v>
      </c>
      <c r="D339" s="37">
        <f>30105.13/8000</f>
        <v>3.7631412500000003</v>
      </c>
      <c r="E339" s="36" t="s">
        <v>11</v>
      </c>
      <c r="F339" s="36" t="s">
        <v>11</v>
      </c>
    </row>
    <row r="340" spans="1:6">
      <c r="A340" s="38" t="s">
        <v>14</v>
      </c>
      <c r="B340" s="45">
        <v>2500</v>
      </c>
      <c r="C340" s="36">
        <f t="shared" si="23"/>
        <v>0.20455205555555556</v>
      </c>
      <c r="D340" s="40">
        <f>36819.37/15000</f>
        <v>2.4546246666666667</v>
      </c>
      <c r="E340" s="39" t="s">
        <v>11</v>
      </c>
      <c r="F340" s="39" t="s">
        <v>11</v>
      </c>
    </row>
    <row r="341" spans="1:6">
      <c r="A341" s="35" t="s">
        <v>15</v>
      </c>
      <c r="B341" s="36">
        <v>2500</v>
      </c>
      <c r="C341" s="36">
        <f t="shared" si="23"/>
        <v>0.14495616666666666</v>
      </c>
      <c r="D341" s="37">
        <f>43486.85/25000</f>
        <v>1.739474</v>
      </c>
      <c r="E341" s="36" t="s">
        <v>11</v>
      </c>
      <c r="F341" s="36" t="s">
        <v>11</v>
      </c>
    </row>
    <row r="342" spans="1:6">
      <c r="A342" s="38" t="s">
        <v>116</v>
      </c>
      <c r="B342" s="45">
        <v>2500</v>
      </c>
      <c r="C342" s="36">
        <f t="shared" si="23"/>
        <v>0.10434016666666666</v>
      </c>
      <c r="D342" s="40">
        <f>50083.28/40000</f>
        <v>1.2520819999999999</v>
      </c>
      <c r="E342" s="39" t="s">
        <v>11</v>
      </c>
      <c r="F342" s="39" t="s">
        <v>11</v>
      </c>
    </row>
    <row r="343" spans="1:6">
      <c r="A343" s="41" t="s">
        <v>117</v>
      </c>
      <c r="B343" s="36">
        <v>2500</v>
      </c>
      <c r="C343" s="36">
        <f t="shared" si="23"/>
        <v>8.2186499999999996E-2</v>
      </c>
      <c r="D343" s="43">
        <f>54243.09/55000</f>
        <v>0.98623799999999995</v>
      </c>
      <c r="E343" s="42" t="s">
        <v>11</v>
      </c>
      <c r="F343" s="42" t="s">
        <v>11</v>
      </c>
    </row>
    <row r="344" spans="1:6">
      <c r="A344" s="46" t="s">
        <v>118</v>
      </c>
      <c r="B344" s="45">
        <v>2500</v>
      </c>
      <c r="C344" s="36">
        <f t="shared" si="23"/>
        <v>6.0774999999999996E-2</v>
      </c>
      <c r="D344" s="48">
        <f>69283.5/95000</f>
        <v>0.72929999999999995</v>
      </c>
      <c r="E344" s="47" t="s">
        <v>11</v>
      </c>
      <c r="F344" s="47" t="s">
        <v>11</v>
      </c>
    </row>
    <row r="345" spans="1:6">
      <c r="A345" s="41" t="s">
        <v>119</v>
      </c>
      <c r="B345" s="36">
        <v>2500</v>
      </c>
      <c r="C345" s="36">
        <f t="shared" si="23"/>
        <v>4.6750000000000007E-2</v>
      </c>
      <c r="D345" s="43">
        <f>98175/175000</f>
        <v>0.56100000000000005</v>
      </c>
      <c r="E345" s="42" t="s">
        <v>11</v>
      </c>
      <c r="F345" s="42" t="s">
        <v>11</v>
      </c>
    </row>
    <row r="346" spans="1:6">
      <c r="A346" s="46" t="s">
        <v>120</v>
      </c>
      <c r="B346" s="47">
        <v>2500</v>
      </c>
      <c r="C346" s="36">
        <f t="shared" si="23"/>
        <v>3.8958333333333338E-2</v>
      </c>
      <c r="D346" s="48">
        <f>420750/900000</f>
        <v>0.46750000000000003</v>
      </c>
      <c r="E346" s="47" t="s">
        <v>11</v>
      </c>
      <c r="F346" s="47" t="s">
        <v>11</v>
      </c>
    </row>
    <row r="349" spans="1:6" ht="18.75">
      <c r="A349" s="15" t="s">
        <v>121</v>
      </c>
    </row>
    <row r="350" spans="1:6" ht="18.75">
      <c r="A350" s="24" t="s">
        <v>35</v>
      </c>
    </row>
    <row r="351" spans="1:6">
      <c r="A351" s="33" t="s">
        <v>4</v>
      </c>
      <c r="B351" s="34" t="s">
        <v>5</v>
      </c>
      <c r="C351" s="34" t="s">
        <v>6</v>
      </c>
      <c r="D351" s="34" t="s">
        <v>7</v>
      </c>
      <c r="E351" s="34" t="s">
        <v>8</v>
      </c>
      <c r="F351" s="34" t="s">
        <v>9</v>
      </c>
    </row>
    <row r="352" spans="1:6">
      <c r="A352" s="35" t="s">
        <v>122</v>
      </c>
      <c r="B352" s="36">
        <v>9900</v>
      </c>
      <c r="C352" s="36">
        <f>D352/12</f>
        <v>3.5557499999999997</v>
      </c>
      <c r="D352" s="37">
        <f>21334.5/500</f>
        <v>42.668999999999997</v>
      </c>
      <c r="E352" s="36" t="s">
        <v>11</v>
      </c>
      <c r="F352" s="36" t="s">
        <v>11</v>
      </c>
    </row>
    <row r="353" spans="1:6">
      <c r="A353" s="38" t="s">
        <v>123</v>
      </c>
      <c r="B353" s="45">
        <v>9900</v>
      </c>
      <c r="C353" s="36">
        <f t="shared" ref="C353:C361" si="24">D353/12</f>
        <v>2.4213749999999998</v>
      </c>
      <c r="D353" s="40">
        <f>29056.5/1000</f>
        <v>29.0565</v>
      </c>
      <c r="E353" s="39" t="s">
        <v>11</v>
      </c>
      <c r="F353" s="39" t="s">
        <v>11</v>
      </c>
    </row>
    <row r="354" spans="1:6">
      <c r="A354" s="35" t="s">
        <v>124</v>
      </c>
      <c r="B354" s="36">
        <v>9900</v>
      </c>
      <c r="C354" s="36">
        <f t="shared" si="24"/>
        <v>1.8026249999999999</v>
      </c>
      <c r="D354" s="37">
        <f>43263/2000</f>
        <v>21.631499999999999</v>
      </c>
      <c r="E354" s="36" t="s">
        <v>11</v>
      </c>
      <c r="F354" s="36" t="s">
        <v>11</v>
      </c>
    </row>
    <row r="355" spans="1:6">
      <c r="A355" s="38" t="s">
        <v>125</v>
      </c>
      <c r="B355" s="45">
        <v>9900</v>
      </c>
      <c r="C355" s="36">
        <f t="shared" si="24"/>
        <v>0.91822500000000007</v>
      </c>
      <c r="D355" s="40">
        <f>55093.5/5000</f>
        <v>11.018700000000001</v>
      </c>
      <c r="E355" s="39" t="s">
        <v>11</v>
      </c>
      <c r="F355" s="39" t="s">
        <v>11</v>
      </c>
    </row>
    <row r="356" spans="1:6">
      <c r="A356" s="35" t="s">
        <v>351</v>
      </c>
      <c r="B356" s="36">
        <v>9900</v>
      </c>
      <c r="C356" s="36">
        <f t="shared" si="24"/>
        <v>0.56306250000000002</v>
      </c>
      <c r="D356" s="37">
        <f>67567.5/10000</f>
        <v>6.7567500000000003</v>
      </c>
      <c r="E356" s="36" t="s">
        <v>11</v>
      </c>
      <c r="F356" s="36" t="s">
        <v>11</v>
      </c>
    </row>
    <row r="357" spans="1:6">
      <c r="A357" s="38" t="s">
        <v>126</v>
      </c>
      <c r="B357" s="45">
        <v>9900</v>
      </c>
      <c r="C357" s="36">
        <f t="shared" si="24"/>
        <v>0.50050000000000006</v>
      </c>
      <c r="D357" s="40">
        <f>90090/15000</f>
        <v>6.0060000000000002</v>
      </c>
      <c r="E357" s="39" t="s">
        <v>11</v>
      </c>
      <c r="F357" s="39" t="s">
        <v>11</v>
      </c>
    </row>
    <row r="358" spans="1:6">
      <c r="A358" s="44" t="s">
        <v>127</v>
      </c>
      <c r="B358" s="36">
        <v>9900</v>
      </c>
      <c r="C358" s="36">
        <f t="shared" si="24"/>
        <v>0.43724999999999997</v>
      </c>
      <c r="D358" s="43">
        <f>104940/20000</f>
        <v>5.2469999999999999</v>
      </c>
      <c r="E358" s="42" t="s">
        <v>11</v>
      </c>
      <c r="F358" s="42" t="s">
        <v>11</v>
      </c>
    </row>
    <row r="359" spans="1:6">
      <c r="A359" s="38" t="s">
        <v>128</v>
      </c>
      <c r="B359" s="45">
        <v>9900</v>
      </c>
      <c r="C359" s="36">
        <f t="shared" si="24"/>
        <v>0.38610000000000005</v>
      </c>
      <c r="D359" s="11">
        <f>115830/25000</f>
        <v>4.6332000000000004</v>
      </c>
      <c r="E359" s="11" t="s">
        <v>11</v>
      </c>
      <c r="F359" s="11" t="s">
        <v>11</v>
      </c>
    </row>
    <row r="360" spans="1:6">
      <c r="A360" s="44" t="s">
        <v>16</v>
      </c>
      <c r="B360" s="36">
        <v>9900</v>
      </c>
      <c r="C360" s="36">
        <f t="shared" si="24"/>
        <v>0.22440000000000002</v>
      </c>
      <c r="D360" s="49">
        <f>134640/50000</f>
        <v>2.6928000000000001</v>
      </c>
      <c r="E360" s="49" t="s">
        <v>11</v>
      </c>
      <c r="F360" s="49" t="s">
        <v>11</v>
      </c>
    </row>
    <row r="361" spans="1:6">
      <c r="A361" t="s">
        <v>129</v>
      </c>
      <c r="B361" s="45">
        <v>9900</v>
      </c>
      <c r="C361" s="36">
        <f t="shared" si="24"/>
        <v>0.15840000000000001</v>
      </c>
      <c r="D361" s="11">
        <f>190080/100000</f>
        <v>1.9008</v>
      </c>
      <c r="E361" s="11" t="s">
        <v>11</v>
      </c>
      <c r="F361" s="11" t="s">
        <v>11</v>
      </c>
    </row>
    <row r="364" spans="1:6" ht="18.75">
      <c r="A364" s="15" t="s">
        <v>130</v>
      </c>
    </row>
    <row r="365" spans="1:6">
      <c r="A365" s="33" t="s">
        <v>4</v>
      </c>
      <c r="B365" s="34" t="s">
        <v>5</v>
      </c>
      <c r="C365" s="34" t="s">
        <v>6</v>
      </c>
      <c r="D365" s="34" t="s">
        <v>7</v>
      </c>
      <c r="E365" s="34" t="s">
        <v>8</v>
      </c>
      <c r="F365" s="34" t="s">
        <v>9</v>
      </c>
    </row>
    <row r="366" spans="1:6">
      <c r="A366" s="35" t="s">
        <v>122</v>
      </c>
      <c r="B366" s="36" t="s">
        <v>11</v>
      </c>
      <c r="C366" s="36">
        <f>D366/12</f>
        <v>1.17</v>
      </c>
      <c r="D366" s="37">
        <f>7020/500</f>
        <v>14.04</v>
      </c>
      <c r="E366" s="36" t="s">
        <v>11</v>
      </c>
      <c r="F366" s="36"/>
    </row>
    <row r="367" spans="1:6">
      <c r="A367" s="38" t="s">
        <v>123</v>
      </c>
      <c r="B367" s="39" t="s">
        <v>11</v>
      </c>
      <c r="C367" s="36">
        <f t="shared" ref="C367:C375" si="25">D367/12</f>
        <v>0.58499999999999996</v>
      </c>
      <c r="D367" s="40">
        <f>7020/1000</f>
        <v>7.02</v>
      </c>
      <c r="E367" s="39" t="s">
        <v>11</v>
      </c>
      <c r="F367" s="39"/>
    </row>
    <row r="368" spans="1:6">
      <c r="A368" s="35" t="s">
        <v>124</v>
      </c>
      <c r="B368" s="36" t="s">
        <v>11</v>
      </c>
      <c r="C368" s="36">
        <f t="shared" si="25"/>
        <v>0.29249999999999998</v>
      </c>
      <c r="D368" s="37">
        <f>7020/2000</f>
        <v>3.51</v>
      </c>
      <c r="E368" s="36" t="s">
        <v>11</v>
      </c>
      <c r="F368" s="36"/>
    </row>
    <row r="369" spans="1:6">
      <c r="A369" s="38" t="s">
        <v>125</v>
      </c>
      <c r="B369" s="39" t="s">
        <v>11</v>
      </c>
      <c r="C369" s="36">
        <f t="shared" si="25"/>
        <v>0.23399999999999999</v>
      </c>
      <c r="D369" s="40">
        <f>7020/2500</f>
        <v>2.8079999999999998</v>
      </c>
      <c r="E369" s="39" t="s">
        <v>11</v>
      </c>
      <c r="F369" s="39"/>
    </row>
    <row r="370" spans="1:6">
      <c r="A370" s="35" t="s">
        <v>351</v>
      </c>
      <c r="B370" s="36" t="s">
        <v>11</v>
      </c>
      <c r="C370" s="36">
        <f t="shared" si="25"/>
        <v>0.15356666666666666</v>
      </c>
      <c r="D370" s="37">
        <f>18428/10000</f>
        <v>1.8428</v>
      </c>
      <c r="E370" s="36" t="s">
        <v>11</v>
      </c>
      <c r="F370" s="36"/>
    </row>
    <row r="371" spans="1:6">
      <c r="A371" s="38" t="s">
        <v>126</v>
      </c>
      <c r="B371" s="39" t="s">
        <v>11</v>
      </c>
      <c r="C371" s="36">
        <f t="shared" si="25"/>
        <v>0.10237777777777778</v>
      </c>
      <c r="D371" s="40">
        <f>18428/15000</f>
        <v>1.2285333333333333</v>
      </c>
      <c r="E371" s="39" t="s">
        <v>11</v>
      </c>
      <c r="F371" s="39"/>
    </row>
    <row r="372" spans="1:6">
      <c r="A372" s="44" t="s">
        <v>127</v>
      </c>
      <c r="B372" s="42" t="s">
        <v>11</v>
      </c>
      <c r="C372" s="36">
        <f t="shared" si="25"/>
        <v>0.10968749999999999</v>
      </c>
      <c r="D372" s="43">
        <f>26325/20000</f>
        <v>1.3162499999999999</v>
      </c>
      <c r="E372" s="42" t="s">
        <v>11</v>
      </c>
      <c r="F372" s="42"/>
    </row>
    <row r="373" spans="1:6">
      <c r="A373" s="38" t="s">
        <v>128</v>
      </c>
      <c r="B373" s="7" t="s">
        <v>11</v>
      </c>
      <c r="C373" s="36">
        <f t="shared" si="25"/>
        <v>8.7749999999999995E-2</v>
      </c>
      <c r="D373" s="11">
        <f>26325/25000</f>
        <v>1.0529999999999999</v>
      </c>
      <c r="E373" s="7" t="s">
        <v>11</v>
      </c>
      <c r="F373" s="11"/>
    </row>
    <row r="374" spans="1:6">
      <c r="A374" s="44" t="s">
        <v>16</v>
      </c>
      <c r="B374" s="118" t="s">
        <v>11</v>
      </c>
      <c r="C374" s="36">
        <f t="shared" si="25"/>
        <v>6.8249999999999991E-2</v>
      </c>
      <c r="D374" s="49">
        <f>40950/50000</f>
        <v>0.81899999999999995</v>
      </c>
      <c r="E374" s="118" t="s">
        <v>11</v>
      </c>
      <c r="F374" s="49"/>
    </row>
    <row r="375" spans="1:6">
      <c r="A375" t="s">
        <v>129</v>
      </c>
      <c r="B375" s="7" t="s">
        <v>11</v>
      </c>
      <c r="C375" s="36">
        <f t="shared" si="25"/>
        <v>4.0219166666666667E-2</v>
      </c>
      <c r="D375" s="11">
        <f>48263/100000</f>
        <v>0.48263</v>
      </c>
      <c r="E375" s="7" t="s">
        <v>11</v>
      </c>
      <c r="F375" s="11"/>
    </row>
    <row r="378" spans="1:6" ht="18.75">
      <c r="A378" s="15" t="s">
        <v>131</v>
      </c>
    </row>
    <row r="379" spans="1:6">
      <c r="A379" s="33" t="s">
        <v>4</v>
      </c>
      <c r="B379" s="34" t="s">
        <v>5</v>
      </c>
      <c r="C379" s="34" t="s">
        <v>6</v>
      </c>
      <c r="D379" s="34" t="s">
        <v>7</v>
      </c>
      <c r="E379" s="34" t="s">
        <v>8</v>
      </c>
      <c r="F379" s="34" t="s">
        <v>9</v>
      </c>
    </row>
    <row r="380" spans="1:6">
      <c r="A380" s="35" t="s">
        <v>122</v>
      </c>
      <c r="B380" s="36" t="s">
        <v>11</v>
      </c>
      <c r="C380" s="36">
        <f>D380/12</f>
        <v>1.17</v>
      </c>
      <c r="D380" s="37">
        <f>7020/500</f>
        <v>14.04</v>
      </c>
      <c r="E380" s="36" t="s">
        <v>11</v>
      </c>
      <c r="F380" s="36"/>
    </row>
    <row r="381" spans="1:6">
      <c r="A381" s="38" t="s">
        <v>123</v>
      </c>
      <c r="B381" s="39" t="s">
        <v>11</v>
      </c>
      <c r="C381" s="36">
        <f t="shared" ref="C381:C389" si="26">D381/12</f>
        <v>0.58499999999999996</v>
      </c>
      <c r="D381" s="40">
        <f>7020/1000</f>
        <v>7.02</v>
      </c>
      <c r="E381" s="39" t="s">
        <v>11</v>
      </c>
      <c r="F381" s="39"/>
    </row>
    <row r="382" spans="1:6">
      <c r="A382" s="35" t="s">
        <v>124</v>
      </c>
      <c r="B382" s="36" t="s">
        <v>11</v>
      </c>
      <c r="C382" s="36">
        <f t="shared" si="26"/>
        <v>0.29249999999999998</v>
      </c>
      <c r="D382" s="37">
        <f>7020/2000</f>
        <v>3.51</v>
      </c>
      <c r="E382" s="36" t="s">
        <v>11</v>
      </c>
      <c r="F382" s="36"/>
    </row>
    <row r="383" spans="1:6">
      <c r="A383" s="38" t="s">
        <v>125</v>
      </c>
      <c r="B383" s="39" t="s">
        <v>11</v>
      </c>
      <c r="C383" s="36">
        <f t="shared" si="26"/>
        <v>0.11699999999999999</v>
      </c>
      <c r="D383" s="40">
        <f>7020/5000</f>
        <v>1.4039999999999999</v>
      </c>
      <c r="E383" s="39" t="s">
        <v>11</v>
      </c>
      <c r="F383" s="39"/>
    </row>
    <row r="384" spans="1:6">
      <c r="A384" s="35" t="s">
        <v>351</v>
      </c>
      <c r="B384" s="36" t="s">
        <v>11</v>
      </c>
      <c r="C384" s="36">
        <f t="shared" si="26"/>
        <v>0.10237777777777778</v>
      </c>
      <c r="D384" s="37">
        <f>18428/15000</f>
        <v>1.2285333333333333</v>
      </c>
      <c r="E384" s="36" t="s">
        <v>11</v>
      </c>
      <c r="F384" s="36"/>
    </row>
    <row r="385" spans="1:6">
      <c r="A385" s="38" t="s">
        <v>126</v>
      </c>
      <c r="B385" s="39" t="s">
        <v>11</v>
      </c>
      <c r="C385" s="36">
        <f t="shared" si="26"/>
        <v>0.10237777777777778</v>
      </c>
      <c r="D385" s="40">
        <f>18428/15000</f>
        <v>1.2285333333333333</v>
      </c>
      <c r="E385" s="39" t="s">
        <v>11</v>
      </c>
      <c r="F385" s="39"/>
    </row>
    <row r="386" spans="1:6">
      <c r="A386" s="44" t="s">
        <v>127</v>
      </c>
      <c r="B386" s="42" t="s">
        <v>11</v>
      </c>
      <c r="C386" s="36">
        <f t="shared" si="26"/>
        <v>0.10968749999999999</v>
      </c>
      <c r="D386" s="43">
        <f>26325/20000</f>
        <v>1.3162499999999999</v>
      </c>
      <c r="E386" s="42" t="s">
        <v>11</v>
      </c>
      <c r="F386" s="42"/>
    </row>
    <row r="387" spans="1:6">
      <c r="A387" s="38" t="s">
        <v>128</v>
      </c>
      <c r="B387" s="7" t="s">
        <v>11</v>
      </c>
      <c r="C387" s="36">
        <f t="shared" si="26"/>
        <v>8.7749999999999995E-2</v>
      </c>
      <c r="D387" s="11">
        <f>26325/25000</f>
        <v>1.0529999999999999</v>
      </c>
      <c r="E387" s="7" t="s">
        <v>11</v>
      </c>
      <c r="F387" s="11"/>
    </row>
    <row r="388" spans="1:6">
      <c r="A388" s="44" t="s">
        <v>16</v>
      </c>
      <c r="B388" s="118" t="s">
        <v>11</v>
      </c>
      <c r="C388" s="36">
        <f t="shared" si="26"/>
        <v>6.8249999999999991E-2</v>
      </c>
      <c r="D388" s="49">
        <f>40950/50000</f>
        <v>0.81899999999999995</v>
      </c>
      <c r="E388" s="118" t="s">
        <v>11</v>
      </c>
      <c r="F388" s="49"/>
    </row>
    <row r="389" spans="1:6">
      <c r="A389" t="s">
        <v>129</v>
      </c>
      <c r="B389" s="7" t="s">
        <v>11</v>
      </c>
      <c r="C389" s="36">
        <f t="shared" si="26"/>
        <v>4.0219166666666667E-2</v>
      </c>
      <c r="D389" s="11">
        <f>48263/100000</f>
        <v>0.48263</v>
      </c>
      <c r="E389" s="7" t="s">
        <v>11</v>
      </c>
      <c r="F389" s="11"/>
    </row>
    <row r="392" spans="1:6" ht="18.75">
      <c r="A392" s="15" t="s">
        <v>132</v>
      </c>
    </row>
    <row r="393" spans="1:6">
      <c r="A393" s="33" t="s">
        <v>4</v>
      </c>
      <c r="B393" s="34" t="s">
        <v>5</v>
      </c>
      <c r="C393" s="34" t="s">
        <v>6</v>
      </c>
      <c r="D393" s="34" t="s">
        <v>7</v>
      </c>
      <c r="E393" s="34" t="s">
        <v>8</v>
      </c>
      <c r="F393" s="34" t="s">
        <v>9</v>
      </c>
    </row>
    <row r="394" spans="1:6">
      <c r="A394" s="35" t="s">
        <v>122</v>
      </c>
      <c r="B394" s="36" t="s">
        <v>11</v>
      </c>
      <c r="C394" s="36">
        <f>D394/12</f>
        <v>1.014</v>
      </c>
      <c r="D394" s="37">
        <f>6084/500</f>
        <v>12.167999999999999</v>
      </c>
      <c r="E394" s="36" t="s">
        <v>11</v>
      </c>
      <c r="F394" s="36"/>
    </row>
    <row r="395" spans="1:6">
      <c r="A395" s="38" t="s">
        <v>123</v>
      </c>
      <c r="B395" s="39" t="s">
        <v>11</v>
      </c>
      <c r="C395" s="36">
        <f t="shared" ref="C395:C403" si="27">D395/12</f>
        <v>0.50700000000000001</v>
      </c>
      <c r="D395" s="40">
        <f>6084/1000</f>
        <v>6.0839999999999996</v>
      </c>
      <c r="E395" s="39" t="s">
        <v>11</v>
      </c>
      <c r="F395" s="39"/>
    </row>
    <row r="396" spans="1:6">
      <c r="A396" s="35" t="s">
        <v>124</v>
      </c>
      <c r="B396" s="36" t="s">
        <v>11</v>
      </c>
      <c r="C396" s="36">
        <f t="shared" si="27"/>
        <v>0.2535</v>
      </c>
      <c r="D396" s="37">
        <f>6084/2000</f>
        <v>3.0419999999999998</v>
      </c>
      <c r="E396" s="36" t="s">
        <v>11</v>
      </c>
      <c r="F396" s="36"/>
    </row>
    <row r="397" spans="1:6">
      <c r="A397" s="38" t="s">
        <v>125</v>
      </c>
      <c r="B397" s="39" t="s">
        <v>11</v>
      </c>
      <c r="C397" s="36">
        <f t="shared" si="27"/>
        <v>0.1014</v>
      </c>
      <c r="D397" s="40">
        <f>6084/5000</f>
        <v>1.2168000000000001</v>
      </c>
      <c r="E397" s="39" t="s">
        <v>11</v>
      </c>
      <c r="F397" s="39"/>
    </row>
    <row r="398" spans="1:6">
      <c r="A398" s="35" t="s">
        <v>351</v>
      </c>
      <c r="B398" s="36" t="s">
        <v>11</v>
      </c>
      <c r="C398" s="36">
        <f t="shared" si="27"/>
        <v>9.7499999999999989E-2</v>
      </c>
      <c r="D398" s="37">
        <f>11700/10000</f>
        <v>1.17</v>
      </c>
      <c r="E398" s="36" t="s">
        <v>11</v>
      </c>
      <c r="F398" s="36"/>
    </row>
    <row r="399" spans="1:6">
      <c r="A399" s="38" t="s">
        <v>126</v>
      </c>
      <c r="B399" s="39" t="s">
        <v>11</v>
      </c>
      <c r="C399" s="36">
        <f t="shared" si="27"/>
        <v>6.5000000000000002E-2</v>
      </c>
      <c r="D399" s="40">
        <f>11700/15000</f>
        <v>0.78</v>
      </c>
      <c r="E399" s="39" t="s">
        <v>11</v>
      </c>
      <c r="F399" s="39"/>
    </row>
    <row r="400" spans="1:6">
      <c r="A400" s="44" t="s">
        <v>127</v>
      </c>
      <c r="B400" s="42" t="s">
        <v>11</v>
      </c>
      <c r="C400" s="36">
        <f t="shared" si="27"/>
        <v>7.4749999999999997E-2</v>
      </c>
      <c r="D400" s="43">
        <f>17940/20000</f>
        <v>0.89700000000000002</v>
      </c>
      <c r="E400" s="42" t="s">
        <v>11</v>
      </c>
      <c r="F400" s="42"/>
    </row>
    <row r="401" spans="1:6">
      <c r="A401" s="38" t="s">
        <v>128</v>
      </c>
      <c r="B401" s="7" t="s">
        <v>11</v>
      </c>
      <c r="C401" s="36">
        <f t="shared" si="27"/>
        <v>5.9799999999999999E-2</v>
      </c>
      <c r="D401" s="11">
        <f>17940/25000</f>
        <v>0.71760000000000002</v>
      </c>
      <c r="E401" s="7" t="s">
        <v>11</v>
      </c>
      <c r="F401" s="11"/>
    </row>
    <row r="402" spans="1:6">
      <c r="A402" s="44" t="s">
        <v>16</v>
      </c>
      <c r="B402" s="118" t="s">
        <v>11</v>
      </c>
      <c r="C402" s="36">
        <f t="shared" si="27"/>
        <v>3.6400000000000002E-2</v>
      </c>
      <c r="D402" s="49">
        <f>21840/50000</f>
        <v>0.43680000000000002</v>
      </c>
      <c r="E402" s="118" t="s">
        <v>11</v>
      </c>
      <c r="F402" s="49"/>
    </row>
    <row r="403" spans="1:6">
      <c r="A403" t="s">
        <v>129</v>
      </c>
      <c r="B403" s="7" t="s">
        <v>11</v>
      </c>
      <c r="C403" s="36">
        <f t="shared" si="27"/>
        <v>2.0799999999999999E-2</v>
      </c>
      <c r="D403" s="11">
        <f>24960/100000</f>
        <v>0.24959999999999999</v>
      </c>
      <c r="E403" s="7" t="s">
        <v>11</v>
      </c>
      <c r="F403" s="11"/>
    </row>
    <row r="406" spans="1:6" ht="18.75">
      <c r="A406" s="15" t="s">
        <v>133</v>
      </c>
    </row>
    <row r="407" spans="1:6">
      <c r="A407" s="33" t="s">
        <v>4</v>
      </c>
      <c r="B407" s="34" t="s">
        <v>5</v>
      </c>
      <c r="C407" s="34" t="s">
        <v>6</v>
      </c>
      <c r="D407" s="34" t="s">
        <v>7</v>
      </c>
      <c r="E407" s="34" t="s">
        <v>8</v>
      </c>
      <c r="F407" s="34" t="s">
        <v>9</v>
      </c>
    </row>
    <row r="408" spans="1:6">
      <c r="A408" s="35" t="s">
        <v>122</v>
      </c>
      <c r="B408" s="36" t="s">
        <v>11</v>
      </c>
      <c r="C408" s="36">
        <f>D408/12</f>
        <v>1.014</v>
      </c>
      <c r="D408" s="37">
        <f>6084/500</f>
        <v>12.167999999999999</v>
      </c>
      <c r="E408" s="36" t="s">
        <v>11</v>
      </c>
      <c r="F408" s="36"/>
    </row>
    <row r="409" spans="1:6">
      <c r="A409" s="38" t="s">
        <v>123</v>
      </c>
      <c r="B409" s="39" t="s">
        <v>11</v>
      </c>
      <c r="C409" s="36">
        <f t="shared" ref="C409:C417" si="28">D409/12</f>
        <v>0.50700000000000001</v>
      </c>
      <c r="D409" s="40">
        <f>6084/1000</f>
        <v>6.0839999999999996</v>
      </c>
      <c r="E409" s="39" t="s">
        <v>11</v>
      </c>
      <c r="F409" s="39"/>
    </row>
    <row r="410" spans="1:6">
      <c r="A410" s="35" t="s">
        <v>124</v>
      </c>
      <c r="B410" s="36" t="s">
        <v>11</v>
      </c>
      <c r="C410" s="36">
        <f t="shared" si="28"/>
        <v>0.2535</v>
      </c>
      <c r="D410" s="37">
        <f>6084/2000</f>
        <v>3.0419999999999998</v>
      </c>
      <c r="E410" s="36" t="s">
        <v>11</v>
      </c>
      <c r="F410" s="36"/>
    </row>
    <row r="411" spans="1:6">
      <c r="A411" s="38" t="s">
        <v>125</v>
      </c>
      <c r="B411" s="39" t="s">
        <v>11</v>
      </c>
      <c r="C411" s="36">
        <f t="shared" si="28"/>
        <v>0.1014</v>
      </c>
      <c r="D411" s="40">
        <f>6084/5000</f>
        <v>1.2168000000000001</v>
      </c>
      <c r="E411" s="39" t="s">
        <v>11</v>
      </c>
      <c r="F411" s="39"/>
    </row>
    <row r="412" spans="1:6">
      <c r="A412" s="35" t="s">
        <v>351</v>
      </c>
      <c r="B412" s="36" t="s">
        <v>11</v>
      </c>
      <c r="C412" s="36">
        <f t="shared" si="28"/>
        <v>9.7499999999999989E-2</v>
      </c>
      <c r="D412" s="37">
        <f>11700/10000</f>
        <v>1.17</v>
      </c>
      <c r="E412" s="36" t="s">
        <v>11</v>
      </c>
      <c r="F412" s="36"/>
    </row>
    <row r="413" spans="1:6">
      <c r="A413" s="38" t="s">
        <v>126</v>
      </c>
      <c r="B413" s="39" t="s">
        <v>11</v>
      </c>
      <c r="C413" s="36">
        <f t="shared" si="28"/>
        <v>6.5000000000000002E-2</v>
      </c>
      <c r="D413" s="40">
        <f>11700/15000</f>
        <v>0.78</v>
      </c>
      <c r="E413" s="39" t="s">
        <v>11</v>
      </c>
      <c r="F413" s="39"/>
    </row>
    <row r="414" spans="1:6">
      <c r="A414" s="44" t="s">
        <v>127</v>
      </c>
      <c r="B414" s="42" t="s">
        <v>11</v>
      </c>
      <c r="C414" s="36">
        <f t="shared" si="28"/>
        <v>7.4749999999999997E-2</v>
      </c>
      <c r="D414" s="43">
        <f>17940/20000</f>
        <v>0.89700000000000002</v>
      </c>
      <c r="E414" s="42" t="s">
        <v>11</v>
      </c>
      <c r="F414" s="42"/>
    </row>
    <row r="415" spans="1:6">
      <c r="A415" s="38" t="s">
        <v>128</v>
      </c>
      <c r="B415" s="7" t="s">
        <v>11</v>
      </c>
      <c r="C415" s="36">
        <f t="shared" si="28"/>
        <v>5.9799999999999999E-2</v>
      </c>
      <c r="D415" s="11">
        <f>17940/25000</f>
        <v>0.71760000000000002</v>
      </c>
      <c r="E415" s="7" t="s">
        <v>11</v>
      </c>
      <c r="F415" s="11"/>
    </row>
    <row r="416" spans="1:6">
      <c r="A416" s="44" t="s">
        <v>16</v>
      </c>
      <c r="B416" s="118" t="s">
        <v>11</v>
      </c>
      <c r="C416" s="36">
        <f t="shared" si="28"/>
        <v>3.6400000000000002E-2</v>
      </c>
      <c r="D416" s="49">
        <f>21840/50000</f>
        <v>0.43680000000000002</v>
      </c>
      <c r="E416" s="118" t="s">
        <v>11</v>
      </c>
      <c r="F416" s="49"/>
    </row>
    <row r="417" spans="1:6">
      <c r="A417" t="s">
        <v>129</v>
      </c>
      <c r="B417" s="7" t="s">
        <v>11</v>
      </c>
      <c r="C417" s="36">
        <f t="shared" si="28"/>
        <v>2.0799999999999999E-2</v>
      </c>
      <c r="D417" s="11">
        <f>24960/100000</f>
        <v>0.24959999999999999</v>
      </c>
      <c r="E417" s="7" t="s">
        <v>11</v>
      </c>
      <c r="F417" s="11"/>
    </row>
    <row r="420" spans="1:6" ht="18.75">
      <c r="A420" s="124" t="s">
        <v>134</v>
      </c>
      <c r="B420" s="125"/>
      <c r="C420" s="125"/>
      <c r="D420" s="125"/>
      <c r="E420" s="125"/>
      <c r="F420" s="125"/>
    </row>
    <row r="421" spans="1:6" ht="18.75">
      <c r="A421" s="126" t="s">
        <v>35</v>
      </c>
      <c r="B421" s="126"/>
      <c r="C421" s="126"/>
      <c r="D421" s="125"/>
      <c r="E421" s="125"/>
      <c r="F421" s="125"/>
    </row>
    <row r="422" spans="1:6">
      <c r="A422" s="127" t="s">
        <v>4</v>
      </c>
      <c r="B422" s="127" t="s">
        <v>5</v>
      </c>
      <c r="C422" s="127" t="s">
        <v>6</v>
      </c>
      <c r="D422" s="127" t="s">
        <v>7</v>
      </c>
      <c r="E422" s="127" t="s">
        <v>8</v>
      </c>
      <c r="F422" s="127" t="s">
        <v>9</v>
      </c>
    </row>
    <row r="423" spans="1:6">
      <c r="A423" s="128" t="s">
        <v>135</v>
      </c>
      <c r="B423" s="130" t="s">
        <v>18</v>
      </c>
      <c r="C423" s="143">
        <f>D423/12</f>
        <v>0.41666666666666669</v>
      </c>
      <c r="D423" s="131">
        <f>5000/1000</f>
        <v>5</v>
      </c>
      <c r="E423" s="130" t="s">
        <v>11</v>
      </c>
      <c r="F423" s="130" t="s">
        <v>11</v>
      </c>
    </row>
    <row r="424" spans="1:6">
      <c r="A424" s="125" t="s">
        <v>136</v>
      </c>
      <c r="B424" s="132" t="s">
        <v>18</v>
      </c>
      <c r="C424" s="143">
        <f t="shared" ref="C424:C431" si="29">D424/12</f>
        <v>0.31666666666666665</v>
      </c>
      <c r="D424" s="134">
        <f>5700/1500</f>
        <v>3.8</v>
      </c>
      <c r="E424" s="133" t="s">
        <v>11</v>
      </c>
      <c r="F424" s="133" t="s">
        <v>11</v>
      </c>
    </row>
    <row r="425" spans="1:6">
      <c r="A425" s="128" t="s">
        <v>137</v>
      </c>
      <c r="B425" s="130" t="s">
        <v>18</v>
      </c>
      <c r="C425" s="143">
        <f t="shared" si="29"/>
        <v>0.25555555555555559</v>
      </c>
      <c r="D425" s="131">
        <f>9200/3000</f>
        <v>3.0666666666666669</v>
      </c>
      <c r="E425" s="130" t="s">
        <v>11</v>
      </c>
      <c r="F425" s="130" t="s">
        <v>11</v>
      </c>
    </row>
    <row r="426" spans="1:6">
      <c r="A426" s="125" t="s">
        <v>138</v>
      </c>
      <c r="B426" s="132" t="s">
        <v>18</v>
      </c>
      <c r="C426" s="143">
        <f t="shared" si="29"/>
        <v>0.24166666666666667</v>
      </c>
      <c r="D426" s="134">
        <f>14500/5000</f>
        <v>2.9</v>
      </c>
      <c r="E426" s="133" t="s">
        <v>11</v>
      </c>
      <c r="F426" s="133" t="s">
        <v>11</v>
      </c>
    </row>
    <row r="427" spans="1:6">
      <c r="A427" s="128" t="s">
        <v>139</v>
      </c>
      <c r="B427" s="130" t="s">
        <v>18</v>
      </c>
      <c r="C427" s="143">
        <f t="shared" si="29"/>
        <v>0.22222222222222221</v>
      </c>
      <c r="D427" s="131">
        <f>20000/7500</f>
        <v>2.6666666666666665</v>
      </c>
      <c r="E427" s="130" t="s">
        <v>11</v>
      </c>
      <c r="F427" s="130" t="s">
        <v>11</v>
      </c>
    </row>
    <row r="428" spans="1:6">
      <c r="A428" s="125" t="s">
        <v>140</v>
      </c>
      <c r="B428" s="132" t="s">
        <v>18</v>
      </c>
      <c r="C428" s="143">
        <f t="shared" si="29"/>
        <v>0.19999999999999998</v>
      </c>
      <c r="D428" s="134">
        <f>24000/10000</f>
        <v>2.4</v>
      </c>
      <c r="E428" s="133" t="s">
        <v>11</v>
      </c>
      <c r="F428" s="133" t="s">
        <v>11</v>
      </c>
    </row>
    <row r="429" spans="1:6">
      <c r="A429" s="129" t="s">
        <v>126</v>
      </c>
      <c r="B429" s="130" t="s">
        <v>18</v>
      </c>
      <c r="C429" s="143">
        <f t="shared" si="29"/>
        <v>0.15555555555555556</v>
      </c>
      <c r="D429" s="136">
        <f>28000/15000</f>
        <v>1.8666666666666667</v>
      </c>
      <c r="E429" s="135" t="s">
        <v>11</v>
      </c>
      <c r="F429" s="135" t="s">
        <v>11</v>
      </c>
    </row>
    <row r="430" spans="1:6">
      <c r="A430" s="125" t="s">
        <v>127</v>
      </c>
      <c r="B430" s="132" t="s">
        <v>18</v>
      </c>
      <c r="C430" s="143">
        <f t="shared" si="29"/>
        <v>0.13333333333333333</v>
      </c>
      <c r="D430" s="134">
        <f>32000/20000</f>
        <v>1.6</v>
      </c>
      <c r="E430" s="137" t="s">
        <v>11</v>
      </c>
      <c r="F430" s="137" t="s">
        <v>11</v>
      </c>
    </row>
    <row r="431" spans="1:6">
      <c r="A431" s="129" t="s">
        <v>141</v>
      </c>
      <c r="B431" s="130" t="s">
        <v>18</v>
      </c>
      <c r="C431" s="143">
        <f t="shared" si="29"/>
        <v>9.9999999999999992E-2</v>
      </c>
      <c r="D431" s="139">
        <f>36000/30000</f>
        <v>1.2</v>
      </c>
      <c r="E431" s="138" t="s">
        <v>11</v>
      </c>
      <c r="F431" s="138" t="s">
        <v>11</v>
      </c>
    </row>
    <row r="432" spans="1:6">
      <c r="A432" s="125" t="s">
        <v>142</v>
      </c>
      <c r="B432" s="132" t="s">
        <v>18</v>
      </c>
      <c r="C432" s="30" t="s">
        <v>28</v>
      </c>
      <c r="D432" s="137" t="s">
        <v>18</v>
      </c>
      <c r="E432" s="137" t="s">
        <v>11</v>
      </c>
      <c r="F432" s="137" t="s">
        <v>11</v>
      </c>
    </row>
  </sheetData>
  <mergeCells count="2">
    <mergeCell ref="B8:F8"/>
    <mergeCell ref="A2:F2"/>
  </mergeCells>
  <phoneticPr fontId="15" type="noConversion"/>
  <pageMargins left="0.7" right="0.7" top="0.75" bottom="0.75" header="0.3" footer="0.3"/>
  <tableParts count="4">
    <tablePart r:id="rId1"/>
    <tablePart r:id="rId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18"/>
  <sheetViews>
    <sheetView topLeftCell="A114" zoomScale="110" zoomScaleNormal="110" workbookViewId="0">
      <selection activeCell="B76" sqref="B76"/>
    </sheetView>
  </sheetViews>
  <sheetFormatPr defaultColWidth="8.85546875" defaultRowHeight="15"/>
  <cols>
    <col min="1" max="1" width="28.85546875" customWidth="1"/>
    <col min="2" max="2" width="50.7109375" customWidth="1"/>
    <col min="3" max="3" width="19.28515625" customWidth="1"/>
    <col min="4" max="4" width="18.140625" customWidth="1"/>
    <col min="5" max="5" width="30.42578125" customWidth="1"/>
    <col min="6" max="6" width="29.28515625" customWidth="1"/>
    <col min="7" max="8" width="8.42578125" bestFit="1" customWidth="1"/>
  </cols>
  <sheetData>
    <row r="1" spans="1:7">
      <c r="A1" s="1" t="s">
        <v>143</v>
      </c>
    </row>
    <row r="2" spans="1:7" ht="43.5" customHeight="1">
      <c r="A2" s="148" t="s">
        <v>33</v>
      </c>
      <c r="B2" s="148"/>
      <c r="C2" s="148"/>
      <c r="D2" s="148"/>
      <c r="E2" s="148"/>
      <c r="F2" s="148"/>
      <c r="G2" s="9"/>
    </row>
    <row r="3" spans="1:7">
      <c r="A3" s="2"/>
    </row>
    <row r="5" spans="1:7">
      <c r="A5" s="165" t="s">
        <v>144</v>
      </c>
      <c r="B5" s="166"/>
      <c r="C5" s="166"/>
      <c r="D5" s="167"/>
    </row>
    <row r="6" spans="1:7">
      <c r="A6" s="66" t="s">
        <v>145</v>
      </c>
      <c r="B6" s="67" t="s">
        <v>146</v>
      </c>
      <c r="C6" s="67" t="s">
        <v>147</v>
      </c>
      <c r="D6" s="67" t="s">
        <v>148</v>
      </c>
    </row>
    <row r="7" spans="1:7">
      <c r="A7" s="68" t="s">
        <v>149</v>
      </c>
      <c r="B7" s="69">
        <v>9</v>
      </c>
      <c r="C7" s="70">
        <v>12500</v>
      </c>
      <c r="D7" s="70">
        <v>9500</v>
      </c>
    </row>
    <row r="8" spans="1:7">
      <c r="A8" s="68" t="s">
        <v>150</v>
      </c>
      <c r="B8" s="69">
        <v>6</v>
      </c>
      <c r="C8" s="70">
        <v>12500</v>
      </c>
      <c r="D8" s="70">
        <v>9500</v>
      </c>
    </row>
    <row r="10" spans="1:7">
      <c r="A10" s="168" t="s">
        <v>151</v>
      </c>
      <c r="B10" s="169"/>
      <c r="E10" s="1"/>
      <c r="F10" s="1"/>
      <c r="G10" s="1"/>
    </row>
    <row r="11" spans="1:7">
      <c r="A11" s="71" t="s">
        <v>152</v>
      </c>
      <c r="B11" s="72" t="s">
        <v>144</v>
      </c>
      <c r="E11" s="1"/>
      <c r="F11" s="1"/>
      <c r="G11" s="1"/>
    </row>
    <row r="12" spans="1:7">
      <c r="A12" s="71" t="s">
        <v>153</v>
      </c>
      <c r="B12" s="72" t="s">
        <v>154</v>
      </c>
    </row>
    <row r="13" spans="1:7">
      <c r="A13" s="71" t="s">
        <v>155</v>
      </c>
      <c r="B13" s="72" t="s">
        <v>156</v>
      </c>
    </row>
    <row r="14" spans="1:7">
      <c r="A14" s="73" t="s">
        <v>157</v>
      </c>
      <c r="B14" s="74" t="s">
        <v>158</v>
      </c>
    </row>
    <row r="16" spans="1:7">
      <c r="A16" s="168" t="s">
        <v>159</v>
      </c>
      <c r="B16" s="169"/>
    </row>
    <row r="17" spans="1:4">
      <c r="A17" s="71" t="s">
        <v>152</v>
      </c>
      <c r="B17" s="72" t="s">
        <v>144</v>
      </c>
    </row>
    <row r="18" spans="1:4">
      <c r="A18" s="71" t="s">
        <v>153</v>
      </c>
      <c r="B18" s="72" t="s">
        <v>160</v>
      </c>
    </row>
    <row r="19" spans="1:4">
      <c r="A19" s="71" t="s">
        <v>155</v>
      </c>
      <c r="B19" s="72" t="s">
        <v>156</v>
      </c>
    </row>
    <row r="20" spans="1:4">
      <c r="A20" s="73" t="s">
        <v>157</v>
      </c>
      <c r="B20" s="74" t="s">
        <v>158</v>
      </c>
    </row>
    <row r="22" spans="1:4" ht="15.75" customHeight="1">
      <c r="A22" s="170" t="s">
        <v>161</v>
      </c>
      <c r="B22" s="170"/>
      <c r="C22" s="170"/>
      <c r="D22" s="170"/>
    </row>
    <row r="23" spans="1:4">
      <c r="A23" s="75" t="s">
        <v>145</v>
      </c>
      <c r="B23" s="76" t="s">
        <v>146</v>
      </c>
      <c r="C23" s="76" t="s">
        <v>147</v>
      </c>
      <c r="D23" s="76" t="s">
        <v>148</v>
      </c>
    </row>
    <row r="24" spans="1:4">
      <c r="A24" s="68" t="s">
        <v>161</v>
      </c>
      <c r="B24" s="77">
        <v>7.5</v>
      </c>
      <c r="C24" s="78">
        <v>22500</v>
      </c>
      <c r="D24" s="78">
        <v>9500</v>
      </c>
    </row>
    <row r="26" spans="1:4">
      <c r="A26" s="2" t="s">
        <v>162</v>
      </c>
    </row>
    <row r="28" spans="1:4" ht="15.75" customHeight="1">
      <c r="A28" s="159" t="s">
        <v>163</v>
      </c>
      <c r="B28" s="159"/>
      <c r="C28" s="159"/>
      <c r="D28" s="159"/>
    </row>
    <row r="29" spans="1:4">
      <c r="A29" s="75" t="s">
        <v>164</v>
      </c>
      <c r="B29" s="76" t="s">
        <v>165</v>
      </c>
      <c r="C29" s="76" t="s">
        <v>166</v>
      </c>
    </row>
    <row r="30" spans="1:4">
      <c r="A30" s="68" t="s">
        <v>167</v>
      </c>
      <c r="B30" s="78">
        <v>10000</v>
      </c>
      <c r="C30" s="79" t="s">
        <v>168</v>
      </c>
    </row>
    <row r="31" spans="1:4">
      <c r="A31" s="80" t="s">
        <v>169</v>
      </c>
      <c r="B31" s="81"/>
      <c r="C31" s="82"/>
    </row>
    <row r="32" spans="1:4">
      <c r="A32" s="83" t="s">
        <v>170</v>
      </c>
      <c r="B32" s="84">
        <v>450</v>
      </c>
      <c r="C32" s="82" t="s">
        <v>171</v>
      </c>
    </row>
    <row r="33" spans="1:3">
      <c r="A33" s="83" t="s">
        <v>172</v>
      </c>
      <c r="B33" s="84">
        <v>375</v>
      </c>
      <c r="C33" s="82" t="s">
        <v>171</v>
      </c>
    </row>
    <row r="34" spans="1:3">
      <c r="A34" s="83" t="s">
        <v>173</v>
      </c>
      <c r="B34" s="84">
        <v>300</v>
      </c>
      <c r="C34" s="82" t="s">
        <v>171</v>
      </c>
    </row>
    <row r="35" spans="1:3">
      <c r="A35" s="83" t="s">
        <v>174</v>
      </c>
      <c r="B35" s="84">
        <v>225</v>
      </c>
      <c r="C35" s="82" t="s">
        <v>171</v>
      </c>
    </row>
    <row r="36" spans="1:3">
      <c r="A36" s="160" t="s">
        <v>175</v>
      </c>
      <c r="B36" s="161"/>
      <c r="C36" s="162"/>
    </row>
    <row r="37" spans="1:3">
      <c r="A37" s="85" t="s">
        <v>176</v>
      </c>
      <c r="B37" s="78">
        <v>90000</v>
      </c>
      <c r="C37" s="79" t="s">
        <v>177</v>
      </c>
    </row>
    <row r="38" spans="1:3">
      <c r="A38" s="85" t="s">
        <v>178</v>
      </c>
      <c r="B38" s="78">
        <v>45000</v>
      </c>
      <c r="C38" s="79" t="s">
        <v>177</v>
      </c>
    </row>
    <row r="39" spans="1:3">
      <c r="A39" s="85" t="s">
        <v>179</v>
      </c>
      <c r="B39" s="78">
        <v>22500</v>
      </c>
      <c r="C39" s="79" t="s">
        <v>177</v>
      </c>
    </row>
    <row r="40" spans="1:3">
      <c r="A40" s="85" t="s">
        <v>180</v>
      </c>
      <c r="B40" s="78">
        <v>120000</v>
      </c>
      <c r="C40" s="79" t="s">
        <v>177</v>
      </c>
    </row>
    <row r="41" spans="1:3">
      <c r="A41" s="85" t="s">
        <v>181</v>
      </c>
      <c r="B41" s="78">
        <v>60000</v>
      </c>
      <c r="C41" s="79" t="s">
        <v>177</v>
      </c>
    </row>
    <row r="42" spans="1:3">
      <c r="A42" s="85" t="s">
        <v>182</v>
      </c>
      <c r="B42" s="78">
        <v>30000</v>
      </c>
      <c r="C42" s="79" t="s">
        <v>177</v>
      </c>
    </row>
    <row r="43" spans="1:3">
      <c r="A43" s="2" t="s">
        <v>183</v>
      </c>
    </row>
    <row r="46" spans="1:3" ht="18.75" customHeight="1">
      <c r="A46" s="163" t="s">
        <v>184</v>
      </c>
      <c r="B46" s="163"/>
    </row>
    <row r="47" spans="1:3">
      <c r="A47" s="79" t="s">
        <v>185</v>
      </c>
      <c r="B47" s="78">
        <v>11500</v>
      </c>
    </row>
    <row r="48" spans="1:3" ht="15" customHeight="1">
      <c r="A48" s="150" t="s">
        <v>186</v>
      </c>
      <c r="B48" s="151"/>
    </row>
    <row r="49" spans="1:2">
      <c r="A49" s="86" t="s">
        <v>187</v>
      </c>
      <c r="B49" s="86" t="s">
        <v>165</v>
      </c>
    </row>
    <row r="50" spans="1:2">
      <c r="A50" s="79" t="s">
        <v>188</v>
      </c>
      <c r="B50" s="77">
        <v>8700</v>
      </c>
    </row>
    <row r="51" spans="1:2">
      <c r="A51" s="87" t="s">
        <v>189</v>
      </c>
      <c r="B51" s="88">
        <v>9570</v>
      </c>
    </row>
    <row r="52" spans="1:2">
      <c r="A52" s="89" t="s">
        <v>190</v>
      </c>
      <c r="B52" s="77">
        <v>10527</v>
      </c>
    </row>
    <row r="53" spans="1:2">
      <c r="A53" s="87" t="s">
        <v>191</v>
      </c>
      <c r="B53" s="88">
        <v>11579.7</v>
      </c>
    </row>
    <row r="54" spans="1:2">
      <c r="A54" s="89" t="s">
        <v>192</v>
      </c>
      <c r="B54" s="77">
        <v>12737.67</v>
      </c>
    </row>
    <row r="55" spans="1:2">
      <c r="A55" s="87" t="s">
        <v>193</v>
      </c>
      <c r="B55" s="88">
        <v>14011.44</v>
      </c>
    </row>
    <row r="56" spans="1:2">
      <c r="A56" s="89" t="s">
        <v>194</v>
      </c>
      <c r="B56" s="77">
        <v>15412.58</v>
      </c>
    </row>
    <row r="57" spans="1:2">
      <c r="A57" s="87" t="s">
        <v>195</v>
      </c>
      <c r="B57" s="88">
        <v>16953.84</v>
      </c>
    </row>
    <row r="58" spans="1:2">
      <c r="A58" s="89" t="s">
        <v>196</v>
      </c>
      <c r="B58" s="77">
        <v>18649.22</v>
      </c>
    </row>
    <row r="59" spans="1:2">
      <c r="A59" s="87" t="s">
        <v>197</v>
      </c>
      <c r="B59" s="88">
        <v>20514.14</v>
      </c>
    </row>
    <row r="60" spans="1:2">
      <c r="A60" s="89" t="s">
        <v>198</v>
      </c>
      <c r="B60" s="77">
        <v>22565.56</v>
      </c>
    </row>
    <row r="61" spans="1:2">
      <c r="A61" s="87" t="s">
        <v>199</v>
      </c>
      <c r="B61" s="88">
        <v>24822.12</v>
      </c>
    </row>
    <row r="62" spans="1:2">
      <c r="A62" s="89" t="s">
        <v>200</v>
      </c>
      <c r="B62" s="77">
        <v>27304.33</v>
      </c>
    </row>
    <row r="63" spans="1:2">
      <c r="A63" s="87" t="s">
        <v>201</v>
      </c>
      <c r="B63" s="88">
        <v>30034.76</v>
      </c>
    </row>
    <row r="64" spans="1:2">
      <c r="A64" s="89" t="s">
        <v>202</v>
      </c>
      <c r="B64" s="77">
        <v>33038.239999999998</v>
      </c>
    </row>
    <row r="65" spans="1:4">
      <c r="A65" s="87" t="s">
        <v>203</v>
      </c>
      <c r="B65" s="88">
        <v>36342.06</v>
      </c>
    </row>
    <row r="66" spans="1:4">
      <c r="A66" s="89" t="s">
        <v>204</v>
      </c>
      <c r="B66" s="77">
        <v>39976.26</v>
      </c>
    </row>
    <row r="67" spans="1:4">
      <c r="A67" s="87" t="s">
        <v>205</v>
      </c>
      <c r="B67" s="88">
        <v>43973.89</v>
      </c>
    </row>
    <row r="68" spans="1:4">
      <c r="A68" s="89" t="s">
        <v>206</v>
      </c>
      <c r="B68" s="77">
        <v>48371.28</v>
      </c>
    </row>
    <row r="69" spans="1:4">
      <c r="A69" s="87" t="s">
        <v>207</v>
      </c>
      <c r="B69" s="88">
        <v>53208.41</v>
      </c>
    </row>
    <row r="70" spans="1:4">
      <c r="A70" s="89" t="s">
        <v>208</v>
      </c>
      <c r="B70" s="77">
        <v>58529.25</v>
      </c>
    </row>
    <row r="72" spans="1:4" ht="18.75">
      <c r="A72" s="152" t="s">
        <v>209</v>
      </c>
      <c r="B72" s="153"/>
      <c r="C72" s="153"/>
      <c r="D72" s="154"/>
    </row>
    <row r="73" spans="1:4" ht="15" customHeight="1">
      <c r="A73" s="155" t="s">
        <v>210</v>
      </c>
      <c r="B73" s="156"/>
      <c r="C73" s="155" t="s">
        <v>211</v>
      </c>
      <c r="D73" s="156"/>
    </row>
    <row r="74" spans="1:4">
      <c r="A74" s="157" t="s">
        <v>212</v>
      </c>
      <c r="B74" s="158"/>
      <c r="C74" s="157" t="s">
        <v>212</v>
      </c>
      <c r="D74" s="158"/>
    </row>
    <row r="75" spans="1:4">
      <c r="A75" s="90" t="s">
        <v>213</v>
      </c>
      <c r="B75" s="91" t="s">
        <v>214</v>
      </c>
      <c r="C75" s="90" t="s">
        <v>213</v>
      </c>
      <c r="D75" s="91" t="s">
        <v>215</v>
      </c>
    </row>
    <row r="76" spans="1:4">
      <c r="A76" s="92" t="s">
        <v>216</v>
      </c>
      <c r="B76" s="93">
        <v>7</v>
      </c>
      <c r="C76" s="92" t="s">
        <v>217</v>
      </c>
      <c r="D76" s="93">
        <v>2.5</v>
      </c>
    </row>
    <row r="77" spans="1:4">
      <c r="A77" s="92" t="s">
        <v>218</v>
      </c>
      <c r="B77" s="93">
        <v>6</v>
      </c>
      <c r="C77" s="92" t="s">
        <v>219</v>
      </c>
      <c r="D77" s="93">
        <v>2</v>
      </c>
    </row>
    <row r="78" spans="1:4">
      <c r="A78" s="92" t="s">
        <v>220</v>
      </c>
      <c r="B78" s="93">
        <v>5</v>
      </c>
      <c r="C78" s="92"/>
      <c r="D78" s="93"/>
    </row>
    <row r="79" spans="1:4">
      <c r="A79" s="92" t="s">
        <v>221</v>
      </c>
      <c r="B79" s="93">
        <v>4.5</v>
      </c>
      <c r="C79" s="90" t="s">
        <v>222</v>
      </c>
      <c r="D79" s="91" t="s">
        <v>223</v>
      </c>
    </row>
    <row r="80" spans="1:4">
      <c r="A80" s="92" t="s">
        <v>224</v>
      </c>
      <c r="B80" s="93">
        <v>4</v>
      </c>
      <c r="C80" s="92">
        <v>1</v>
      </c>
      <c r="D80" s="93">
        <v>1500</v>
      </c>
    </row>
    <row r="81" spans="1:4">
      <c r="A81" s="92"/>
      <c r="B81" s="93"/>
      <c r="C81" s="92">
        <v>2</v>
      </c>
      <c r="D81" s="93">
        <v>2000</v>
      </c>
    </row>
    <row r="82" spans="1:4">
      <c r="A82" s="90" t="s">
        <v>222</v>
      </c>
      <c r="B82" s="91" t="s">
        <v>223</v>
      </c>
      <c r="C82" s="92">
        <v>3</v>
      </c>
      <c r="D82" s="93">
        <v>2500</v>
      </c>
    </row>
    <row r="83" spans="1:4">
      <c r="A83" s="92">
        <v>1</v>
      </c>
      <c r="B83" s="93">
        <v>10000</v>
      </c>
      <c r="C83" s="92" t="s">
        <v>225</v>
      </c>
      <c r="D83" s="93" t="s">
        <v>226</v>
      </c>
    </row>
    <row r="84" spans="1:4">
      <c r="A84" s="92">
        <v>2</v>
      </c>
      <c r="B84" s="93">
        <v>15000</v>
      </c>
      <c r="C84" s="94"/>
      <c r="D84" s="95"/>
    </row>
    <row r="85" spans="1:4">
      <c r="A85" s="92">
        <v>3</v>
      </c>
      <c r="B85" s="93">
        <v>20000</v>
      </c>
      <c r="C85" s="94"/>
      <c r="D85" s="95"/>
    </row>
    <row r="86" spans="1:4">
      <c r="A86" s="92" t="s">
        <v>225</v>
      </c>
      <c r="B86" s="93" t="s">
        <v>226</v>
      </c>
      <c r="C86" s="94"/>
      <c r="D86" s="95"/>
    </row>
    <row r="87" spans="1:4">
      <c r="A87" s="96"/>
      <c r="B87" s="97"/>
      <c r="C87" s="98"/>
      <c r="D87" s="99"/>
    </row>
    <row r="88" spans="1:4" ht="18.75">
      <c r="A88" s="164" t="s">
        <v>227</v>
      </c>
      <c r="B88" s="164"/>
      <c r="C88" s="164"/>
    </row>
    <row r="89" spans="1:4">
      <c r="A89" s="100"/>
      <c r="B89" s="101" t="s">
        <v>228</v>
      </c>
      <c r="C89" s="101" t="s">
        <v>229</v>
      </c>
    </row>
    <row r="90" spans="1:4" ht="15.75">
      <c r="A90" s="102" t="s">
        <v>230</v>
      </c>
      <c r="B90" s="103" t="s">
        <v>231</v>
      </c>
      <c r="C90" s="103" t="s">
        <v>232</v>
      </c>
    </row>
    <row r="91" spans="1:4" ht="15.75">
      <c r="A91" s="102" t="s">
        <v>233</v>
      </c>
      <c r="B91" s="104">
        <v>114000</v>
      </c>
      <c r="C91" s="103" t="s">
        <v>234</v>
      </c>
    </row>
    <row r="92" spans="1:4" ht="15.75">
      <c r="A92" s="102" t="s">
        <v>235</v>
      </c>
      <c r="B92" s="104">
        <v>228000</v>
      </c>
      <c r="C92" s="103" t="s">
        <v>234</v>
      </c>
    </row>
    <row r="93" spans="1:4" ht="15.75">
      <c r="A93" s="102" t="s">
        <v>236</v>
      </c>
      <c r="B93" s="104">
        <v>342000</v>
      </c>
      <c r="C93" s="103" t="s">
        <v>234</v>
      </c>
    </row>
    <row r="94" spans="1:4" ht="15.75">
      <c r="A94" s="102" t="s">
        <v>237</v>
      </c>
      <c r="B94" s="104">
        <v>456000</v>
      </c>
      <c r="C94" s="103" t="s">
        <v>234</v>
      </c>
    </row>
    <row r="100" spans="1:3" ht="18.75" customHeight="1">
      <c r="A100" s="149" t="s">
        <v>238</v>
      </c>
      <c r="B100" s="149"/>
      <c r="C100" s="149"/>
    </row>
    <row r="101" spans="1:3">
      <c r="A101" s="100"/>
      <c r="B101" s="101" t="s">
        <v>228</v>
      </c>
      <c r="C101" s="101" t="s">
        <v>229</v>
      </c>
    </row>
    <row r="102" spans="1:3">
      <c r="A102" t="s">
        <v>239</v>
      </c>
      <c r="B102" t="s">
        <v>240</v>
      </c>
      <c r="C102" t="s">
        <v>232</v>
      </c>
    </row>
    <row r="103" spans="1:3">
      <c r="A103" t="s">
        <v>241</v>
      </c>
      <c r="B103" s="105">
        <v>15000</v>
      </c>
      <c r="C103" t="s">
        <v>232</v>
      </c>
    </row>
    <row r="104" spans="1:3">
      <c r="A104" t="s">
        <v>242</v>
      </c>
      <c r="B104" s="105">
        <v>25000</v>
      </c>
      <c r="C104" t="s">
        <v>232</v>
      </c>
    </row>
    <row r="105" spans="1:3">
      <c r="A105" t="s">
        <v>243</v>
      </c>
      <c r="B105" s="105">
        <v>35000</v>
      </c>
      <c r="C105" t="s">
        <v>232</v>
      </c>
    </row>
    <row r="108" spans="1:3" ht="18.75" customHeight="1">
      <c r="A108" s="149" t="s">
        <v>244</v>
      </c>
      <c r="B108" s="149"/>
      <c r="C108" s="149"/>
    </row>
    <row r="109" spans="1:3">
      <c r="A109" s="100"/>
      <c r="B109" s="101" t="s">
        <v>228</v>
      </c>
      <c r="C109" s="101" t="s">
        <v>229</v>
      </c>
    </row>
    <row r="110" spans="1:3">
      <c r="A110" t="s">
        <v>245</v>
      </c>
      <c r="B110" s="105">
        <v>95000</v>
      </c>
      <c r="C110" t="s">
        <v>232</v>
      </c>
    </row>
    <row r="111" spans="1:3">
      <c r="A111" t="s">
        <v>246</v>
      </c>
      <c r="B111" s="106">
        <v>0.3</v>
      </c>
      <c r="C111" t="s">
        <v>247</v>
      </c>
    </row>
    <row r="112" spans="1:3">
      <c r="A112" t="s">
        <v>248</v>
      </c>
      <c r="B112" s="106">
        <v>0.27</v>
      </c>
      <c r="C112" t="s">
        <v>247</v>
      </c>
    </row>
    <row r="113" spans="1:3">
      <c r="A113" t="s">
        <v>249</v>
      </c>
      <c r="B113" s="106">
        <v>0.25</v>
      </c>
      <c r="C113" t="s">
        <v>247</v>
      </c>
    </row>
    <row r="114" spans="1:3">
      <c r="A114" t="s">
        <v>250</v>
      </c>
      <c r="B114" s="106">
        <v>0.2</v>
      </c>
      <c r="C114" t="s">
        <v>247</v>
      </c>
    </row>
    <row r="115" spans="1:3">
      <c r="A115" t="s">
        <v>251</v>
      </c>
      <c r="B115" s="105">
        <v>24000</v>
      </c>
      <c r="C115" t="s">
        <v>232</v>
      </c>
    </row>
    <row r="116" spans="1:3">
      <c r="A116" t="s">
        <v>252</v>
      </c>
      <c r="B116" s="105">
        <v>30000</v>
      </c>
      <c r="C116" t="s">
        <v>232</v>
      </c>
    </row>
    <row r="117" spans="1:3">
      <c r="A117" t="s">
        <v>253</v>
      </c>
      <c r="B117" s="105">
        <v>20000</v>
      </c>
      <c r="C117" t="s">
        <v>232</v>
      </c>
    </row>
    <row r="118" spans="1:3">
      <c r="A118" t="s">
        <v>254</v>
      </c>
      <c r="B118" s="105">
        <v>40000</v>
      </c>
      <c r="C118" t="s">
        <v>232</v>
      </c>
    </row>
  </sheetData>
  <mergeCells count="17">
    <mergeCell ref="A2:F2"/>
    <mergeCell ref="A5:D5"/>
    <mergeCell ref="A10:B10"/>
    <mergeCell ref="A16:B16"/>
    <mergeCell ref="A22:D22"/>
    <mergeCell ref="A28:D28"/>
    <mergeCell ref="A36:C36"/>
    <mergeCell ref="A46:B46"/>
    <mergeCell ref="A88:C88"/>
    <mergeCell ref="A100:C100"/>
    <mergeCell ref="A108:C108"/>
    <mergeCell ref="A48:B48"/>
    <mergeCell ref="A72:D72"/>
    <mergeCell ref="A73:B73"/>
    <mergeCell ref="C73:D73"/>
    <mergeCell ref="A74:B74"/>
    <mergeCell ref="C74:D7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27"/>
  <sheetViews>
    <sheetView zoomScale="130" zoomScaleNormal="130" workbookViewId="0">
      <selection activeCell="B5" sqref="B5"/>
    </sheetView>
  </sheetViews>
  <sheetFormatPr defaultColWidth="8.85546875" defaultRowHeight="15"/>
  <cols>
    <col min="1" max="1" width="70.7109375" customWidth="1"/>
    <col min="2" max="2" width="16.85546875" customWidth="1"/>
    <col min="3" max="3" width="14.5703125" customWidth="1"/>
    <col min="4" max="4" width="19.140625" style="11" bestFit="1" customWidth="1"/>
    <col min="5" max="5" width="22.42578125" style="11" customWidth="1"/>
    <col min="6" max="6" width="19.42578125" style="11" bestFit="1" customWidth="1"/>
    <col min="7" max="7" width="51.7109375" customWidth="1"/>
  </cols>
  <sheetData>
    <row r="1" spans="1:14">
      <c r="A1" s="1" t="s">
        <v>255</v>
      </c>
    </row>
    <row r="2" spans="1:14">
      <c r="A2" s="171" t="s">
        <v>256</v>
      </c>
      <c r="B2" s="171"/>
      <c r="C2" s="171"/>
      <c r="D2" s="171"/>
      <c r="E2" s="171"/>
      <c r="F2" s="171"/>
      <c r="G2" s="171"/>
      <c r="H2" s="171"/>
      <c r="I2" s="171"/>
      <c r="J2" s="171"/>
      <c r="K2" s="171"/>
      <c r="L2" s="171"/>
      <c r="M2" s="171"/>
      <c r="N2" s="171"/>
    </row>
    <row r="3" spans="1:14" ht="27" customHeight="1">
      <c r="A3" s="171" t="s">
        <v>257</v>
      </c>
      <c r="B3" s="171"/>
      <c r="C3" s="171"/>
      <c r="D3" s="171"/>
      <c r="E3" s="171"/>
      <c r="F3" s="117"/>
      <c r="G3" s="3"/>
      <c r="H3" s="3"/>
      <c r="I3" s="3"/>
      <c r="J3" s="3"/>
      <c r="K3" s="3"/>
      <c r="L3" s="3"/>
      <c r="M3" s="3"/>
      <c r="N3" s="3"/>
    </row>
    <row r="4" spans="1:14" ht="14.65" customHeight="1">
      <c r="A4" s="1" t="s">
        <v>258</v>
      </c>
      <c r="B4" s="1" t="s">
        <v>259</v>
      </c>
      <c r="C4" s="1" t="s">
        <v>260</v>
      </c>
      <c r="D4" s="7" t="s">
        <v>261</v>
      </c>
      <c r="E4" s="7" t="s">
        <v>262</v>
      </c>
      <c r="F4" s="7" t="s">
        <v>263</v>
      </c>
      <c r="G4" s="5" t="s">
        <v>166</v>
      </c>
    </row>
    <row r="5" spans="1:14" s="50" customFormat="1" ht="33" customHeight="1">
      <c r="A5" s="38" t="s">
        <v>264</v>
      </c>
      <c r="B5" s="113" t="s">
        <v>265</v>
      </c>
      <c r="C5" s="38" t="s">
        <v>266</v>
      </c>
      <c r="D5" s="119">
        <v>3085.71</v>
      </c>
      <c r="E5" s="119" t="s">
        <v>267</v>
      </c>
      <c r="F5" s="119">
        <v>154.29</v>
      </c>
      <c r="G5" s="59" t="s">
        <v>268</v>
      </c>
    </row>
    <row r="6" spans="1:14" ht="25.5">
      <c r="A6" s="38" t="s">
        <v>269</v>
      </c>
      <c r="B6" s="114" t="s">
        <v>265</v>
      </c>
      <c r="C6" s="60" t="s">
        <v>266</v>
      </c>
      <c r="D6" s="119">
        <v>3085.71</v>
      </c>
      <c r="E6" s="119" t="s">
        <v>267</v>
      </c>
      <c r="F6" s="119">
        <v>154.29</v>
      </c>
      <c r="G6" s="59" t="s">
        <v>268</v>
      </c>
      <c r="H6" s="3"/>
      <c r="I6" s="3"/>
      <c r="J6" s="3"/>
      <c r="K6" s="3"/>
      <c r="L6" s="3"/>
      <c r="M6" s="3"/>
      <c r="N6" s="3"/>
    </row>
    <row r="7" spans="1:14" ht="75">
      <c r="A7" s="38" t="s">
        <v>270</v>
      </c>
      <c r="B7" s="114" t="s">
        <v>265</v>
      </c>
      <c r="C7" s="115" t="s">
        <v>271</v>
      </c>
      <c r="D7" s="116" t="s">
        <v>11</v>
      </c>
      <c r="E7" s="116" t="s">
        <v>11</v>
      </c>
      <c r="F7" s="116" t="s">
        <v>11</v>
      </c>
      <c r="G7" s="59" t="s">
        <v>272</v>
      </c>
    </row>
    <row r="8" spans="1:14" ht="75">
      <c r="A8" s="38" t="s">
        <v>273</v>
      </c>
      <c r="B8" s="114" t="s">
        <v>265</v>
      </c>
      <c r="C8" s="115" t="s">
        <v>271</v>
      </c>
      <c r="D8" s="116" t="s">
        <v>11</v>
      </c>
      <c r="E8" s="116" t="s">
        <v>11</v>
      </c>
      <c r="F8" s="116" t="s">
        <v>11</v>
      </c>
      <c r="G8" s="59" t="s">
        <v>274</v>
      </c>
    </row>
    <row r="9" spans="1:14" ht="75">
      <c r="A9" s="38" t="s">
        <v>275</v>
      </c>
      <c r="B9" s="114" t="s">
        <v>265</v>
      </c>
      <c r="C9" s="115" t="s">
        <v>271</v>
      </c>
      <c r="D9" s="116" t="s">
        <v>11</v>
      </c>
      <c r="E9" s="116" t="s">
        <v>11</v>
      </c>
      <c r="F9" s="116" t="s">
        <v>11</v>
      </c>
      <c r="G9" s="59" t="s">
        <v>276</v>
      </c>
    </row>
    <row r="10" spans="1:14" ht="75">
      <c r="A10" s="38" t="s">
        <v>277</v>
      </c>
      <c r="B10" s="114" t="s">
        <v>265</v>
      </c>
      <c r="C10" s="115" t="s">
        <v>271</v>
      </c>
      <c r="D10" s="116" t="s">
        <v>11</v>
      </c>
      <c r="E10" s="116" t="s">
        <v>11</v>
      </c>
      <c r="F10" s="116" t="s">
        <v>11</v>
      </c>
      <c r="G10" s="59" t="s">
        <v>278</v>
      </c>
    </row>
    <row r="11" spans="1:14" ht="75">
      <c r="A11" s="38" t="s">
        <v>279</v>
      </c>
      <c r="B11" s="114" t="s">
        <v>265</v>
      </c>
      <c r="C11" s="115" t="s">
        <v>271</v>
      </c>
      <c r="D11" s="116" t="s">
        <v>11</v>
      </c>
      <c r="E11" s="116" t="s">
        <v>11</v>
      </c>
      <c r="F11" s="116" t="s">
        <v>11</v>
      </c>
      <c r="G11" s="59" t="s">
        <v>280</v>
      </c>
    </row>
    <row r="12" spans="1:14" ht="75">
      <c r="A12" s="38" t="s">
        <v>281</v>
      </c>
      <c r="B12" s="114" t="s">
        <v>265</v>
      </c>
      <c r="C12" s="115" t="s">
        <v>271</v>
      </c>
      <c r="D12" s="116" t="s">
        <v>11</v>
      </c>
      <c r="E12" s="116" t="s">
        <v>11</v>
      </c>
      <c r="F12" s="116" t="s">
        <v>11</v>
      </c>
      <c r="G12" s="59" t="s">
        <v>282</v>
      </c>
    </row>
    <row r="13" spans="1:14" ht="75">
      <c r="A13" s="38" t="s">
        <v>283</v>
      </c>
      <c r="B13" s="114" t="s">
        <v>265</v>
      </c>
      <c r="C13" s="115" t="s">
        <v>271</v>
      </c>
      <c r="D13" s="116" t="s">
        <v>11</v>
      </c>
      <c r="E13" s="119" t="s">
        <v>284</v>
      </c>
      <c r="F13" s="116" t="s">
        <v>11</v>
      </c>
      <c r="G13" s="61" t="s">
        <v>285</v>
      </c>
    </row>
    <row r="14" spans="1:14" ht="75">
      <c r="A14" s="38" t="s">
        <v>286</v>
      </c>
      <c r="B14" s="114" t="s">
        <v>265</v>
      </c>
      <c r="C14" s="115" t="s">
        <v>271</v>
      </c>
      <c r="D14" s="116" t="s">
        <v>11</v>
      </c>
      <c r="E14" s="119" t="s">
        <v>267</v>
      </c>
      <c r="F14" s="116" t="s">
        <v>11</v>
      </c>
      <c r="G14" s="61" t="s">
        <v>287</v>
      </c>
    </row>
    <row r="15" spans="1:14" ht="75">
      <c r="A15" s="38" t="s">
        <v>288</v>
      </c>
      <c r="B15" s="114" t="s">
        <v>265</v>
      </c>
      <c r="C15" s="115" t="s">
        <v>271</v>
      </c>
      <c r="D15" s="116" t="s">
        <v>11</v>
      </c>
      <c r="E15" s="119" t="s">
        <v>267</v>
      </c>
      <c r="F15" s="116" t="s">
        <v>11</v>
      </c>
      <c r="G15" s="61" t="s">
        <v>287</v>
      </c>
    </row>
    <row r="16" spans="1:14" ht="75">
      <c r="A16" s="38" t="s">
        <v>289</v>
      </c>
      <c r="B16" s="114" t="s">
        <v>265</v>
      </c>
      <c r="C16" s="115" t="s">
        <v>271</v>
      </c>
      <c r="D16" s="116" t="s">
        <v>11</v>
      </c>
      <c r="E16" s="119" t="s">
        <v>267</v>
      </c>
      <c r="F16" s="116" t="s">
        <v>11</v>
      </c>
      <c r="G16" s="61" t="s">
        <v>287</v>
      </c>
    </row>
    <row r="17" spans="1:7" ht="75">
      <c r="A17" s="38" t="s">
        <v>290</v>
      </c>
      <c r="B17" s="114" t="s">
        <v>265</v>
      </c>
      <c r="C17" s="115" t="s">
        <v>271</v>
      </c>
      <c r="D17" s="116" t="s">
        <v>11</v>
      </c>
      <c r="E17" s="119" t="s">
        <v>267</v>
      </c>
      <c r="F17" s="116" t="s">
        <v>11</v>
      </c>
      <c r="G17" s="61" t="s">
        <v>291</v>
      </c>
    </row>
    <row r="18" spans="1:7" ht="75">
      <c r="A18" s="38" t="s">
        <v>292</v>
      </c>
      <c r="B18" s="114" t="s">
        <v>265</v>
      </c>
      <c r="C18" s="115" t="s">
        <v>271</v>
      </c>
      <c r="D18" s="116" t="s">
        <v>11</v>
      </c>
      <c r="E18" s="116" t="s">
        <v>11</v>
      </c>
      <c r="F18" s="116" t="s">
        <v>11</v>
      </c>
      <c r="G18" s="61" t="s">
        <v>293</v>
      </c>
    </row>
    <row r="19" spans="1:7" ht="105">
      <c r="A19" s="38" t="s">
        <v>294</v>
      </c>
      <c r="B19" s="114" t="s">
        <v>265</v>
      </c>
      <c r="C19" s="115" t="s">
        <v>271</v>
      </c>
      <c r="D19" s="116" t="s">
        <v>11</v>
      </c>
      <c r="E19" s="116" t="s">
        <v>11</v>
      </c>
      <c r="F19" s="116" t="s">
        <v>11</v>
      </c>
      <c r="G19" s="112" t="s">
        <v>295</v>
      </c>
    </row>
    <row r="20" spans="1:7">
      <c r="A20" s="38"/>
      <c r="B20" s="38"/>
      <c r="C20" s="38"/>
      <c r="D20" s="40"/>
      <c r="E20" s="119"/>
      <c r="F20" s="40"/>
      <c r="G20" s="61"/>
    </row>
    <row r="21" spans="1:7">
      <c r="A21" s="38"/>
      <c r="B21" s="38"/>
      <c r="C21" s="38"/>
      <c r="D21" s="40"/>
      <c r="E21" s="119"/>
      <c r="F21" s="40"/>
      <c r="G21" s="61"/>
    </row>
    <row r="22" spans="1:7">
      <c r="A22" s="38"/>
      <c r="B22" s="38"/>
      <c r="C22" s="38"/>
      <c r="D22" s="40"/>
      <c r="E22" s="119"/>
      <c r="F22" s="40"/>
      <c r="G22" s="61"/>
    </row>
    <row r="23" spans="1:7">
      <c r="A23" s="38"/>
      <c r="B23" s="38"/>
      <c r="C23" s="38"/>
      <c r="D23" s="40"/>
      <c r="E23" s="119"/>
      <c r="F23" s="40"/>
      <c r="G23" s="61"/>
    </row>
    <row r="24" spans="1:7">
      <c r="A24" s="38"/>
      <c r="B24" s="38"/>
      <c r="C24" s="38"/>
      <c r="D24" s="40"/>
      <c r="E24" s="119"/>
      <c r="F24" s="40"/>
      <c r="G24" s="61"/>
    </row>
    <row r="25" spans="1:7">
      <c r="A25" s="38"/>
      <c r="B25" s="38"/>
      <c r="C25" s="38"/>
      <c r="D25" s="40"/>
      <c r="E25" s="119"/>
      <c r="F25" s="40"/>
      <c r="G25" s="61"/>
    </row>
    <row r="26" spans="1:7">
      <c r="A26" s="38"/>
      <c r="B26" s="38"/>
      <c r="C26" s="38"/>
      <c r="D26" s="40"/>
      <c r="E26" s="40"/>
      <c r="F26" s="40"/>
      <c r="G26" s="38"/>
    </row>
    <row r="27" spans="1:7">
      <c r="A27" s="62" t="s">
        <v>296</v>
      </c>
      <c r="B27" s="38"/>
      <c r="C27" s="38"/>
      <c r="D27" s="40"/>
      <c r="E27" s="40"/>
      <c r="F27" s="40"/>
      <c r="G27" s="38"/>
    </row>
  </sheetData>
  <mergeCells count="2">
    <mergeCell ref="A2:N2"/>
    <mergeCell ref="A3:E3"/>
  </mergeCells>
  <phoneticPr fontId="15" type="noConversion"/>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50"/>
  <sheetViews>
    <sheetView topLeftCell="A38" zoomScale="140" zoomScaleNormal="140" workbookViewId="0">
      <selection activeCell="B6" sqref="B6"/>
    </sheetView>
  </sheetViews>
  <sheetFormatPr defaultColWidth="8.85546875" defaultRowHeight="15"/>
  <cols>
    <col min="1" max="1" width="20" customWidth="1"/>
    <col min="2" max="2" width="68.42578125" customWidth="1"/>
    <col min="3" max="3" width="36.28515625" customWidth="1"/>
    <col min="4" max="4" width="16.42578125" style="6" customWidth="1"/>
  </cols>
  <sheetData>
    <row r="1" spans="1:4">
      <c r="A1" s="1" t="s">
        <v>297</v>
      </c>
    </row>
    <row r="2" spans="1:4">
      <c r="A2" s="172" t="s">
        <v>298</v>
      </c>
      <c r="B2" s="172"/>
      <c r="C2" s="172"/>
      <c r="D2" s="172"/>
    </row>
    <row r="4" spans="1:4">
      <c r="A4" s="1" t="s">
        <v>299</v>
      </c>
      <c r="B4" s="1" t="s">
        <v>300</v>
      </c>
      <c r="C4" s="1" t="s">
        <v>301</v>
      </c>
      <c r="D4" s="5" t="s">
        <v>302</v>
      </c>
    </row>
    <row r="5" spans="1:4">
      <c r="A5" s="38"/>
      <c r="B5" s="38" t="s">
        <v>302</v>
      </c>
      <c r="C5" s="38"/>
      <c r="D5" s="61">
        <v>232</v>
      </c>
    </row>
    <row r="6" spans="1:4">
      <c r="A6" s="38"/>
      <c r="B6" s="38"/>
      <c r="C6" s="38"/>
      <c r="D6" s="61"/>
    </row>
    <row r="7" spans="1:4">
      <c r="A7" s="38"/>
      <c r="B7" s="38"/>
      <c r="C7" s="38"/>
      <c r="D7" s="61"/>
    </row>
    <row r="8" spans="1:4">
      <c r="A8" s="38"/>
      <c r="B8" s="38"/>
      <c r="C8" s="38"/>
      <c r="D8" s="61"/>
    </row>
    <row r="9" spans="1:4">
      <c r="A9" s="173" t="s">
        <v>303</v>
      </c>
      <c r="B9" s="173"/>
      <c r="C9" s="173"/>
      <c r="D9" s="173"/>
    </row>
    <row r="10" spans="1:4">
      <c r="A10" s="173"/>
      <c r="B10" s="173"/>
      <c r="C10" s="173"/>
      <c r="D10" s="173"/>
    </row>
    <row r="11" spans="1:4">
      <c r="A11" s="173"/>
      <c r="B11" s="173"/>
      <c r="C11" s="173"/>
      <c r="D11" s="173"/>
    </row>
    <row r="12" spans="1:4">
      <c r="A12" s="173"/>
      <c r="B12" s="173"/>
      <c r="C12" s="173"/>
      <c r="D12" s="173"/>
    </row>
    <row r="13" spans="1:4">
      <c r="A13" s="173"/>
      <c r="B13" s="173"/>
      <c r="C13" s="173"/>
      <c r="D13" s="173"/>
    </row>
    <row r="14" spans="1:4">
      <c r="A14" s="173"/>
      <c r="B14" s="173"/>
      <c r="C14" s="173"/>
      <c r="D14" s="173"/>
    </row>
    <row r="15" spans="1:4">
      <c r="A15" s="173"/>
      <c r="B15" s="173"/>
      <c r="C15" s="173"/>
      <c r="D15" s="173"/>
    </row>
    <row r="16" spans="1:4">
      <c r="A16" s="173"/>
      <c r="B16" s="173"/>
      <c r="C16" s="173"/>
      <c r="D16" s="173"/>
    </row>
    <row r="17" spans="1:4" ht="29.25" customHeight="1">
      <c r="A17" s="173"/>
      <c r="B17" s="173"/>
      <c r="C17" s="173"/>
      <c r="D17" s="173"/>
    </row>
    <row r="18" spans="1:4" ht="62.25" customHeight="1">
      <c r="A18" s="173" t="s">
        <v>304</v>
      </c>
      <c r="B18" s="173"/>
      <c r="C18" s="173"/>
      <c r="D18" s="173"/>
    </row>
    <row r="19" spans="1:4">
      <c r="A19" s="38"/>
      <c r="B19" s="38"/>
      <c r="C19" s="38"/>
      <c r="D19" s="61"/>
    </row>
    <row r="20" spans="1:4" ht="20.25">
      <c r="A20" s="63" t="s">
        <v>305</v>
      </c>
      <c r="B20" s="38"/>
      <c r="C20" s="38"/>
      <c r="D20" s="61"/>
    </row>
    <row r="21" spans="1:4">
      <c r="A21" s="64" t="s">
        <v>306</v>
      </c>
      <c r="B21" s="64" t="s">
        <v>307</v>
      </c>
      <c r="C21" s="64" t="s">
        <v>308</v>
      </c>
      <c r="D21" s="61"/>
    </row>
    <row r="22" spans="1:4">
      <c r="A22" s="174" t="s">
        <v>309</v>
      </c>
      <c r="B22" s="65" t="s">
        <v>310</v>
      </c>
      <c r="C22" s="174" t="s">
        <v>311</v>
      </c>
      <c r="D22" s="61"/>
    </row>
    <row r="23" spans="1:4">
      <c r="A23" s="174"/>
      <c r="B23" s="65" t="s">
        <v>312</v>
      </c>
      <c r="C23" s="174"/>
      <c r="D23" s="61"/>
    </row>
    <row r="24" spans="1:4">
      <c r="A24" s="174"/>
      <c r="B24" s="65" t="s">
        <v>313</v>
      </c>
      <c r="C24" s="174"/>
      <c r="D24" s="61"/>
    </row>
    <row r="25" spans="1:4">
      <c r="A25" s="174"/>
      <c r="B25" s="65" t="s">
        <v>314</v>
      </c>
      <c r="C25" s="174"/>
      <c r="D25" s="61"/>
    </row>
    <row r="26" spans="1:4">
      <c r="A26" s="174"/>
      <c r="B26" s="65" t="s">
        <v>315</v>
      </c>
      <c r="C26" s="174"/>
      <c r="D26" s="61"/>
    </row>
    <row r="27" spans="1:4">
      <c r="A27" s="174"/>
      <c r="B27" s="65" t="s">
        <v>316</v>
      </c>
      <c r="C27" s="174"/>
      <c r="D27" s="61"/>
    </row>
    <row r="28" spans="1:4">
      <c r="A28" s="174"/>
      <c r="B28" s="65" t="s">
        <v>317</v>
      </c>
      <c r="C28" s="174"/>
      <c r="D28" s="61"/>
    </row>
    <row r="29" spans="1:4">
      <c r="A29" s="174" t="s">
        <v>318</v>
      </c>
      <c r="B29" s="65" t="s">
        <v>319</v>
      </c>
      <c r="C29" s="65" t="s">
        <v>320</v>
      </c>
      <c r="D29" s="61"/>
    </row>
    <row r="30" spans="1:4">
      <c r="A30" s="174"/>
      <c r="B30" s="65" t="s">
        <v>321</v>
      </c>
      <c r="C30" s="65" t="s">
        <v>322</v>
      </c>
      <c r="D30" s="61"/>
    </row>
    <row r="31" spans="1:4">
      <c r="A31" s="174"/>
      <c r="B31" s="65" t="s">
        <v>323</v>
      </c>
      <c r="C31" s="38"/>
      <c r="D31" s="61"/>
    </row>
    <row r="32" spans="1:4">
      <c r="A32" s="174" t="s">
        <v>324</v>
      </c>
      <c r="B32" s="65" t="s">
        <v>325</v>
      </c>
      <c r="C32" s="174" t="s">
        <v>320</v>
      </c>
      <c r="D32" s="61"/>
    </row>
    <row r="33" spans="1:4">
      <c r="A33" s="174"/>
      <c r="B33" s="65" t="s">
        <v>326</v>
      </c>
      <c r="C33" s="174"/>
      <c r="D33" s="61"/>
    </row>
    <row r="34" spans="1:4">
      <c r="A34" s="174"/>
      <c r="B34" s="65" t="s">
        <v>327</v>
      </c>
      <c r="C34" s="174"/>
      <c r="D34" s="61"/>
    </row>
    <row r="35" spans="1:4">
      <c r="A35" s="174"/>
      <c r="B35" s="65" t="s">
        <v>328</v>
      </c>
      <c r="C35" s="174"/>
      <c r="D35" s="61"/>
    </row>
    <row r="36" spans="1:4">
      <c r="A36" s="174" t="s">
        <v>329</v>
      </c>
      <c r="B36" s="65" t="s">
        <v>330</v>
      </c>
      <c r="C36" s="65" t="s">
        <v>331</v>
      </c>
      <c r="D36" s="61"/>
    </row>
    <row r="37" spans="1:4">
      <c r="A37" s="174"/>
      <c r="B37" s="65" t="s">
        <v>332</v>
      </c>
      <c r="C37" s="65" t="s">
        <v>333</v>
      </c>
      <c r="D37" s="61"/>
    </row>
    <row r="38" spans="1:4">
      <c r="A38" s="174"/>
      <c r="B38" s="65" t="s">
        <v>334</v>
      </c>
      <c r="C38" s="65" t="s">
        <v>335</v>
      </c>
      <c r="D38" s="61"/>
    </row>
    <row r="39" spans="1:4">
      <c r="A39" s="174"/>
      <c r="B39" s="65" t="s">
        <v>336</v>
      </c>
      <c r="C39" s="38"/>
      <c r="D39" s="61"/>
    </row>
    <row r="40" spans="1:4">
      <c r="A40" s="174" t="s">
        <v>337</v>
      </c>
      <c r="B40" s="174" t="s">
        <v>338</v>
      </c>
      <c r="C40" s="65" t="s">
        <v>339</v>
      </c>
      <c r="D40" s="61"/>
    </row>
    <row r="41" spans="1:4">
      <c r="A41" s="174"/>
      <c r="B41" s="174"/>
      <c r="C41" s="65" t="s">
        <v>340</v>
      </c>
      <c r="D41" s="61"/>
    </row>
    <row r="42" spans="1:4">
      <c r="A42" s="65" t="s">
        <v>341</v>
      </c>
      <c r="B42" s="65" t="s">
        <v>342</v>
      </c>
      <c r="C42" s="65" t="s">
        <v>343</v>
      </c>
      <c r="D42" s="61"/>
    </row>
    <row r="43" spans="1:4">
      <c r="A43" s="174" t="s">
        <v>344</v>
      </c>
      <c r="B43" s="65" t="s">
        <v>345</v>
      </c>
      <c r="C43" s="174" t="s">
        <v>346</v>
      </c>
      <c r="D43" s="61"/>
    </row>
    <row r="44" spans="1:4">
      <c r="A44" s="174"/>
      <c r="B44" s="65" t="s">
        <v>347</v>
      </c>
      <c r="C44" s="174"/>
      <c r="D44" s="61"/>
    </row>
    <row r="45" spans="1:4">
      <c r="A45" s="65" t="s">
        <v>348</v>
      </c>
      <c r="B45" s="65" t="s">
        <v>349</v>
      </c>
      <c r="C45" s="65" t="s">
        <v>350</v>
      </c>
      <c r="D45" s="61"/>
    </row>
    <row r="46" spans="1:4">
      <c r="A46" s="38"/>
      <c r="B46" s="38"/>
      <c r="C46" s="38"/>
      <c r="D46" s="61"/>
    </row>
    <row r="47" spans="1:4">
      <c r="A47" s="38"/>
      <c r="B47" s="38"/>
      <c r="C47" s="38"/>
      <c r="D47" s="61"/>
    </row>
    <row r="48" spans="1:4">
      <c r="A48" s="38"/>
      <c r="B48" s="38"/>
      <c r="C48" s="38"/>
      <c r="D48" s="61"/>
    </row>
    <row r="49" spans="1:4">
      <c r="A49" s="38"/>
      <c r="B49" s="38"/>
      <c r="C49" s="38"/>
      <c r="D49" s="61"/>
    </row>
    <row r="50" spans="1:4">
      <c r="A50" s="38"/>
      <c r="B50" s="38"/>
      <c r="C50" s="38"/>
      <c r="D50" s="61"/>
    </row>
  </sheetData>
  <mergeCells count="13">
    <mergeCell ref="A43:A44"/>
    <mergeCell ref="C43:C44"/>
    <mergeCell ref="A18:D18"/>
    <mergeCell ref="A32:A35"/>
    <mergeCell ref="C32:C35"/>
    <mergeCell ref="A36:A39"/>
    <mergeCell ref="A40:A41"/>
    <mergeCell ref="B40:B41"/>
    <mergeCell ref="A2:D2"/>
    <mergeCell ref="A9:D17"/>
    <mergeCell ref="A22:A28"/>
    <mergeCell ref="C22:C28"/>
    <mergeCell ref="A29:A3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D0CE27524A7594896F08F344325548D" ma:contentTypeVersion="21" ma:contentTypeDescription="Create a new document." ma:contentTypeScope="" ma:versionID="e76135b7661587dc2713ad9951ad50cc">
  <xsd:schema xmlns:xsd="http://www.w3.org/2001/XMLSchema" xmlns:xs="http://www.w3.org/2001/XMLSchema" xmlns:p="http://schemas.microsoft.com/office/2006/metadata/properties" xmlns:ns2="ddd3b05e-7fea-46ec-b8df-6e640f3ce033" xmlns:ns3="f4f82de8-652d-4299-b574-bb0d3e8d27c4" targetNamespace="http://schemas.microsoft.com/office/2006/metadata/properties" ma:root="true" ma:fieldsID="c4b5c7d104a0376c7eed85d6cf2de91a" ns2:_="" ns3:_="">
    <xsd:import namespace="ddd3b05e-7fea-46ec-b8df-6e640f3ce033"/>
    <xsd:import namespace="f4f82de8-652d-4299-b574-bb0d3e8d27c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GenerationTime" minOccurs="0"/>
                <xsd:element ref="ns2:MediaServiceEventHashCode" minOccurs="0"/>
                <xsd:element ref="ns3:SharedWithUsers" minOccurs="0"/>
                <xsd:element ref="ns3:SharedWithDetails"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d3b05e-7fea-46ec-b8df-6e640f3ce0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241d28dc-dfd4-4171-b3ef-8c09b5f389bc"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4f82de8-652d-4299-b574-bb0d3e8d27c4"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3ae2d58e-0d4f-44fa-a0f4-36de97f1971c}" ma:internalName="TaxCatchAll" ma:readOnly="false" ma:showField="CatchAllData" ma:web="f4f82de8-652d-4299-b574-bb0d3e8d27c4">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f4f82de8-652d-4299-b574-bb0d3e8d27c4">
      <UserInfo>
        <DisplayName>Carl van der Horst</DisplayName>
        <AccountId>169</AccountId>
        <AccountType/>
      </UserInfo>
      <UserInfo>
        <DisplayName>Toral Bhatt</DisplayName>
        <AccountId>846</AccountId>
        <AccountType/>
      </UserInfo>
      <UserInfo>
        <DisplayName>Lynne Culverhouse</DisplayName>
        <AccountId>884</AccountId>
        <AccountType/>
      </UserInfo>
      <UserInfo>
        <DisplayName>Brian Finnegan</DisplayName>
        <AccountId>371</AccountId>
        <AccountType/>
      </UserInfo>
      <UserInfo>
        <DisplayName>James Crichton</DisplayName>
        <AccountId>149</AccountId>
        <AccountType/>
      </UserInfo>
      <UserInfo>
        <DisplayName>Ginny Garayta</DisplayName>
        <AccountId>719</AccountId>
        <AccountType/>
      </UserInfo>
      <UserInfo>
        <DisplayName>Maryorie Pavon</DisplayName>
        <AccountId>442</AccountId>
        <AccountType/>
      </UserInfo>
      <UserInfo>
        <DisplayName>Bradley Morgan</DisplayName>
        <AccountId>125</AccountId>
        <AccountType/>
      </UserInfo>
      <UserInfo>
        <DisplayName>Ruth Newberry</DisplayName>
        <AccountId>257</AccountId>
        <AccountType/>
      </UserInfo>
      <UserInfo>
        <DisplayName>Amanda Reed</DisplayName>
        <AccountId>454</AccountId>
        <AccountType/>
      </UserInfo>
      <UserInfo>
        <DisplayName>Katie Felton</DisplayName>
        <AccountId>443</AccountId>
        <AccountType/>
      </UserInfo>
      <UserInfo>
        <DisplayName>Cole Galyon</DisplayName>
        <AccountId>65</AccountId>
        <AccountType/>
      </UserInfo>
      <UserInfo>
        <DisplayName>Bryna Dash</DisplayName>
        <AccountId>856</AccountId>
        <AccountType/>
      </UserInfo>
      <UserInfo>
        <DisplayName>Austin Fox</DisplayName>
        <AccountId>17</AccountId>
        <AccountType/>
      </UserInfo>
      <UserInfo>
        <DisplayName>Rod Gallagher</DisplayName>
        <AccountId>112</AccountId>
        <AccountType/>
      </UserInfo>
      <UserInfo>
        <DisplayName>Rhonda Kilgore</DisplayName>
        <AccountId>21</AccountId>
        <AccountType/>
      </UserInfo>
      <UserInfo>
        <DisplayName>Shanna Johnson</DisplayName>
        <AccountId>26</AccountId>
        <AccountType/>
      </UserInfo>
      <UserInfo>
        <DisplayName>Elizabeth Detwiler</DisplayName>
        <AccountId>43</AccountId>
        <AccountType/>
      </UserInfo>
    </SharedWithUsers>
    <lcf76f155ced4ddcb4097134ff3c332f xmlns="ddd3b05e-7fea-46ec-b8df-6e640f3ce033">
      <Terms xmlns="http://schemas.microsoft.com/office/infopath/2007/PartnerControls"/>
    </lcf76f155ced4ddcb4097134ff3c332f>
    <TaxCatchAll xmlns="f4f82de8-652d-4299-b574-bb0d3e8d27c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EFF7F39-09FA-4912-A182-A361BA1D3E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d3b05e-7fea-46ec-b8df-6e640f3ce033"/>
    <ds:schemaRef ds:uri="f4f82de8-652d-4299-b574-bb0d3e8d27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106CB2F-F9C4-4F66-AC72-440BD8106EF1}">
  <ds:schemaRefs>
    <ds:schemaRef ds:uri="http://schemas.microsoft.com/office/2006/metadata/properties"/>
    <ds:schemaRef ds:uri="http://schemas.microsoft.com/office/infopath/2007/PartnerControls"/>
    <ds:schemaRef ds:uri="f4f82de8-652d-4299-b574-bb0d3e8d27c4"/>
    <ds:schemaRef ds:uri="ddd3b05e-7fea-46ec-b8df-6e640f3ce033"/>
  </ds:schemaRefs>
</ds:datastoreItem>
</file>

<file path=customXml/itemProps3.xml><?xml version="1.0" encoding="utf-8"?>
<ds:datastoreItem xmlns:ds="http://schemas.openxmlformats.org/officeDocument/2006/customXml" ds:itemID="{B6A6AF5C-5F08-4FDB-97C8-9D7FFF757C1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2 - HE &amp; Bus-Gov Pricing</vt:lpstr>
      <vt:lpstr>3 HE BUS-GOV Host Supp. Modules</vt:lpstr>
      <vt:lpstr>4 Student Success Supp. Modules</vt:lpstr>
      <vt:lpstr>5 - Training</vt:lpstr>
      <vt:lpstr>6 - Professional Services</vt:lpstr>
    </vt:vector>
  </TitlesOfParts>
  <Manager/>
  <Company>SC Budget and Control Board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Kristen Hutto</dc:creator>
  <cp:keywords/>
  <dc:description/>
  <cp:lastModifiedBy>Sanders, Clifton</cp:lastModifiedBy>
  <cp:revision/>
  <dcterms:created xsi:type="dcterms:W3CDTF">2018-03-06T16:31:12Z</dcterms:created>
  <dcterms:modified xsi:type="dcterms:W3CDTF">2025-05-22T19:56:03Z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0x010100BD0CE27524A7594896F08F344325548D</vt:lpwstr>
  </property>
  <property fmtid="{D5CDD505-2E9C-101B-9397-08002B2CF9AE}" pid="3" name="MediaServiceImageTags">
    <vt:lpwstr/>
  </property>
</Properties>
</file>